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tawe\Documents\A REAL ESTATE\Market Statistics\"/>
    </mc:Choice>
  </mc:AlternateContent>
  <xr:revisionPtr revIDLastSave="0" documentId="8_{B787E627-92B3-4200-AB69-A4222B842CA5}" xr6:coauthVersionLast="47" xr6:coauthVersionMax="47" xr10:uidLastSave="{00000000-0000-0000-0000-000000000000}"/>
  <bookViews>
    <workbookView xWindow="-120" yWindow="-120" windowWidth="38640" windowHeight="15720" tabRatio="603" activeTab="2" xr2:uid="{4FACE763-95AF-40D4-B95C-1EFF68116281}"/>
  </bookViews>
  <sheets>
    <sheet name="ALL" sheetId="1" r:id="rId1"/>
    <sheet name="1 Year" sheetId="2" r:id="rId2"/>
    <sheet name="Chart for blog" sheetId="3" r:id="rId3"/>
    <sheet name="Mar 24" sheetId="76" r:id="rId4"/>
    <sheet name="Feb 24" sheetId="75" r:id="rId5"/>
    <sheet name="Jan 24" sheetId="74" r:id="rId6"/>
    <sheet name="Dec 23" sheetId="73" r:id="rId7"/>
    <sheet name="Nov 23" sheetId="72" r:id="rId8"/>
    <sheet name="Oct 23" sheetId="71" r:id="rId9"/>
    <sheet name="Sep 23" sheetId="70" r:id="rId10"/>
    <sheet name="Aug 23" sheetId="69" r:id="rId11"/>
    <sheet name="Jul 23" sheetId="68" r:id="rId12"/>
    <sheet name="Jun 23" sheetId="67" r:id="rId13"/>
    <sheet name="May 23" sheetId="66" r:id="rId14"/>
    <sheet name="Apr 23" sheetId="65" r:id="rId15"/>
    <sheet name="Mar 23" sheetId="64" r:id="rId16"/>
    <sheet name="Feb 23" sheetId="63" r:id="rId17"/>
    <sheet name="Jan 23" sheetId="62" r:id="rId18"/>
    <sheet name="Dec 22" sheetId="61" r:id="rId19"/>
    <sheet name="Nov 22" sheetId="60" r:id="rId20"/>
    <sheet name="Oct 22" sheetId="59" r:id="rId21"/>
    <sheet name="Sep 22" sheetId="58" r:id="rId22"/>
    <sheet name="Aug 22" sheetId="57" r:id="rId23"/>
    <sheet name="Jul 22" sheetId="56" r:id="rId24"/>
    <sheet name="Jun 22" sheetId="55" r:id="rId25"/>
    <sheet name="May 22" sheetId="54" r:id="rId26"/>
    <sheet name="Apr 22" sheetId="53" r:id="rId27"/>
    <sheet name="Mar 22" sheetId="52" r:id="rId28"/>
    <sheet name="Feb 22" sheetId="51" r:id="rId29"/>
    <sheet name="Jan 22" sheetId="50" r:id="rId30"/>
    <sheet name="Dec 21" sheetId="49" r:id="rId31"/>
    <sheet name="Nov 21" sheetId="48" r:id="rId32"/>
    <sheet name="Oct 21" sheetId="47" r:id="rId33"/>
    <sheet name="Sep 21" sheetId="46" r:id="rId34"/>
    <sheet name="Aug 21" sheetId="45" r:id="rId35"/>
    <sheet name="July 21" sheetId="44" r:id="rId36"/>
    <sheet name="Jun 21" sheetId="43" r:id="rId37"/>
    <sheet name="May 21" sheetId="42" r:id="rId38"/>
    <sheet name="Apr 21" sheetId="41" r:id="rId39"/>
    <sheet name="Mar 21" sheetId="40" r:id="rId40"/>
    <sheet name="Feb 21" sheetId="39" r:id="rId41"/>
    <sheet name="Jan 21" sheetId="38" r:id="rId42"/>
    <sheet name="Dec 20" sheetId="37" r:id="rId43"/>
    <sheet name="Nov 20" sheetId="36" r:id="rId44"/>
    <sheet name="Oct 20" sheetId="35" r:id="rId45"/>
    <sheet name="Sep 20" sheetId="34" r:id="rId46"/>
    <sheet name="Aug 20" sheetId="33" r:id="rId47"/>
    <sheet name="July 20" sheetId="32" r:id="rId48"/>
    <sheet name="June 20" sheetId="31" r:id="rId49"/>
    <sheet name="May 20" sheetId="30" r:id="rId50"/>
    <sheet name="Apr 20" sheetId="29" r:id="rId51"/>
    <sheet name="Mar 20" sheetId="28" r:id="rId52"/>
    <sheet name="Feb 20" sheetId="27" r:id="rId53"/>
    <sheet name="Jan 20" sheetId="26" r:id="rId54"/>
    <sheet name="Dec 19" sheetId="25" r:id="rId55"/>
    <sheet name="Nov 19" sheetId="24" r:id="rId56"/>
    <sheet name="Oct 19" sheetId="23" r:id="rId57"/>
    <sheet name="Sep 19" sheetId="22" r:id="rId58"/>
    <sheet name="Aug 19" sheetId="21" r:id="rId59"/>
    <sheet name="July 19" sheetId="20" r:id="rId60"/>
    <sheet name="June 19" sheetId="19" r:id="rId61"/>
    <sheet name="May 19" sheetId="18" r:id="rId62"/>
    <sheet name="Apr 19" sheetId="17" r:id="rId63"/>
    <sheet name="Mar 19" sheetId="16" r:id="rId64"/>
    <sheet name="Feb 19" sheetId="15" r:id="rId65"/>
    <sheet name="Jan 19" sheetId="14" r:id="rId66"/>
    <sheet name="Dec 18" sheetId="13" r:id="rId67"/>
    <sheet name="Nov 18" sheetId="12" r:id="rId68"/>
    <sheet name="Oct 18" sheetId="11" r:id="rId69"/>
    <sheet name="Sep 18" sheetId="10" r:id="rId70"/>
    <sheet name="Aug 18" sheetId="9" r:id="rId71"/>
    <sheet name="July 18" sheetId="8" r:id="rId72"/>
    <sheet name="June 18" sheetId="7" r:id="rId73"/>
    <sheet name="May 18" sheetId="6" r:id="rId74"/>
    <sheet name="Apr 18" sheetId="5" r:id="rId75"/>
    <sheet name="Mar 18" sheetId="4" r:id="rId76"/>
  </sheets>
  <externalReferences>
    <externalReference r:id="rId77"/>
    <externalReference r:id="rId78"/>
  </externalReferences>
  <definedNames>
    <definedName name="_xlnm.Print_Area" localSheetId="74">'Apr 18'!$A$1:$G$65</definedName>
    <definedName name="_xlnm.Print_Area" localSheetId="62">'Apr 19'!$A$1:$G$65</definedName>
    <definedName name="_xlnm.Print_Area" localSheetId="50">'Apr 20'!$A$1:$G$65</definedName>
    <definedName name="_xlnm.Print_Area" localSheetId="38">'Apr 21'!$A$1:$G$65</definedName>
    <definedName name="_xlnm.Print_Area" localSheetId="26">'Apr 22'!$A$1:$G$65</definedName>
    <definedName name="_xlnm.Print_Area" localSheetId="14">'Apr 23'!$A$1:$G$65</definedName>
    <definedName name="_xlnm.Print_Area" localSheetId="70">'Aug 18'!$A$1:$G$65</definedName>
    <definedName name="_xlnm.Print_Area" localSheetId="58">'Aug 19'!$A$1:$G$65</definedName>
    <definedName name="_xlnm.Print_Area" localSheetId="46">'Aug 20'!$A$1:$G$65</definedName>
    <definedName name="_xlnm.Print_Area" localSheetId="34">'Aug 21'!$A$1:$G$65</definedName>
    <definedName name="_xlnm.Print_Area" localSheetId="22">'Aug 22'!$A$1:$G$65</definedName>
    <definedName name="_xlnm.Print_Area" localSheetId="10">'Aug 23'!$A$1:$G$65</definedName>
    <definedName name="_xlnm.Print_Area" localSheetId="66">'Dec 18'!$A$1:$G$65</definedName>
    <definedName name="_xlnm.Print_Area" localSheetId="54">'Dec 19'!$A$1:$G$65</definedName>
    <definedName name="_xlnm.Print_Area" localSheetId="42">'Dec 20'!$A$1:$G$65</definedName>
    <definedName name="_xlnm.Print_Area" localSheetId="30">'Dec 21'!$A$1:$G$65</definedName>
    <definedName name="_xlnm.Print_Area" localSheetId="18">'Dec 22'!$A$1:$G$65</definedName>
    <definedName name="_xlnm.Print_Area" localSheetId="6">'Dec 23'!$A$1:$G$65</definedName>
    <definedName name="_xlnm.Print_Area" localSheetId="64">'Feb 19'!$A$1:$G$65</definedName>
    <definedName name="_xlnm.Print_Area" localSheetId="52">'Feb 20'!$A$1:$G$65</definedName>
    <definedName name="_xlnm.Print_Area" localSheetId="40">'Feb 21'!$A$1:$G$65</definedName>
    <definedName name="_xlnm.Print_Area" localSheetId="28">'Feb 22'!$A$1:$G$65</definedName>
    <definedName name="_xlnm.Print_Area" localSheetId="16">'Feb 23'!$A$1:$G$65</definedName>
    <definedName name="_xlnm.Print_Area" localSheetId="4">'Feb 24'!$A$1:$G$65</definedName>
    <definedName name="_xlnm.Print_Area" localSheetId="65">'Jan 19'!$A$1:$G$65</definedName>
    <definedName name="_xlnm.Print_Area" localSheetId="53">'Jan 20'!$A$1:$G$65</definedName>
    <definedName name="_xlnm.Print_Area" localSheetId="41">'Jan 21'!$A$1:$G$65</definedName>
    <definedName name="_xlnm.Print_Area" localSheetId="29">'Jan 22'!$A$1:$G$65</definedName>
    <definedName name="_xlnm.Print_Area" localSheetId="17">'Jan 23'!$A$1:$G$65</definedName>
    <definedName name="_xlnm.Print_Area" localSheetId="5">'Jan 24'!$A$1:$G$65</definedName>
    <definedName name="_xlnm.Print_Area" localSheetId="23">'Jul 22'!$A$1:$G$65</definedName>
    <definedName name="_xlnm.Print_Area" localSheetId="11">'Jul 23'!$A$1:$G$65</definedName>
    <definedName name="_xlnm.Print_Area" localSheetId="71">'July 18'!$A$1:$G$65</definedName>
    <definedName name="_xlnm.Print_Area" localSheetId="59">'July 19'!$A$1:$G$65</definedName>
    <definedName name="_xlnm.Print_Area" localSheetId="47">'July 20'!$A$1:$G$65</definedName>
    <definedName name="_xlnm.Print_Area" localSheetId="35">'July 21'!$A$1:$G$65</definedName>
    <definedName name="_xlnm.Print_Area" localSheetId="36">'Jun 21'!$A$1:$G$65</definedName>
    <definedName name="_xlnm.Print_Area" localSheetId="24">'Jun 22'!$A$1:$G$65</definedName>
    <definedName name="_xlnm.Print_Area" localSheetId="12">'Jun 23'!$A$1:$G$65</definedName>
    <definedName name="_xlnm.Print_Area" localSheetId="72">'June 18'!$A$1:$G$65</definedName>
    <definedName name="_xlnm.Print_Area" localSheetId="60">'June 19'!$A$1:$G$65</definedName>
    <definedName name="_xlnm.Print_Area" localSheetId="48">'June 20'!$A$1:$G$65</definedName>
    <definedName name="_xlnm.Print_Area" localSheetId="63">'Mar 19'!$A$1:$G$65</definedName>
    <definedName name="_xlnm.Print_Area" localSheetId="51">'Mar 20'!$A$1:$G$65</definedName>
    <definedName name="_xlnm.Print_Area" localSheetId="39">'Mar 21'!$A$1:$G$65</definedName>
    <definedName name="_xlnm.Print_Area" localSheetId="27">'Mar 22'!$A$1:$G$65</definedName>
    <definedName name="_xlnm.Print_Area" localSheetId="15">'Mar 23'!$A$1:$G$65</definedName>
    <definedName name="_xlnm.Print_Area" localSheetId="3">'Mar 24'!$A$1:$G$65</definedName>
    <definedName name="_xlnm.Print_Area" localSheetId="73">'May 18'!$A$1:$G$65</definedName>
    <definedName name="_xlnm.Print_Area" localSheetId="61">'May 19'!$A$1:$G$65</definedName>
    <definedName name="_xlnm.Print_Area" localSheetId="49">'May 20'!$A$1:$G$65</definedName>
    <definedName name="_xlnm.Print_Area" localSheetId="37">'May 21'!$A$1:$G$65</definedName>
    <definedName name="_xlnm.Print_Area" localSheetId="25">'May 22'!$A$1:$G$65</definedName>
    <definedName name="_xlnm.Print_Area" localSheetId="13">'May 23'!$A$1:$G$65</definedName>
    <definedName name="_xlnm.Print_Area" localSheetId="67">'Nov 18'!$A$1:$G$65</definedName>
    <definedName name="_xlnm.Print_Area" localSheetId="55">'Nov 19'!$A$1:$G$65</definedName>
    <definedName name="_xlnm.Print_Area" localSheetId="43">'Nov 20'!$A$1:$G$65</definedName>
    <definedName name="_xlnm.Print_Area" localSheetId="31">'Nov 21'!$A$1:$G$65</definedName>
    <definedName name="_xlnm.Print_Area" localSheetId="19">'Nov 22'!$A$1:$G$65</definedName>
    <definedName name="_xlnm.Print_Area" localSheetId="7">'Nov 23'!$A$1:$G$65</definedName>
    <definedName name="_xlnm.Print_Area" localSheetId="68">'Oct 18'!$A$1:$G$65</definedName>
    <definedName name="_xlnm.Print_Area" localSheetId="56">'Oct 19'!$A$1:$G$65</definedName>
    <definedName name="_xlnm.Print_Area" localSheetId="44">'Oct 20'!$A$1:$G$65</definedName>
    <definedName name="_xlnm.Print_Area" localSheetId="32">'Oct 21'!$A$1:$G$65</definedName>
    <definedName name="_xlnm.Print_Area" localSheetId="20">'Oct 22'!$A$1:$G$65</definedName>
    <definedName name="_xlnm.Print_Area" localSheetId="8">'Oct 23'!$A$1:$G$65</definedName>
    <definedName name="_xlnm.Print_Area" localSheetId="69">'Sep 18'!$A$1:$G$65</definedName>
    <definedName name="_xlnm.Print_Area" localSheetId="57">'Sep 19'!$A$1:$G$65</definedName>
    <definedName name="_xlnm.Print_Area" localSheetId="45">'Sep 20'!$A$1:$G$65</definedName>
    <definedName name="_xlnm.Print_Area" localSheetId="33">'Sep 21'!$A$1:$G$65</definedName>
    <definedName name="_xlnm.Print_Area" localSheetId="21">'Sep 22'!$A$1:$G$65</definedName>
    <definedName name="_xlnm.Print_Area" localSheetId="9">'Sep 23'!$A$1:$G$65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S96" i="2" l="1"/>
  <c r="GS95" i="2"/>
  <c r="GS94" i="2"/>
  <c r="GS93" i="2"/>
  <c r="GS92" i="2"/>
  <c r="GS79" i="2"/>
  <c r="GS78" i="2"/>
  <c r="GS77" i="2"/>
  <c r="GS76" i="2"/>
  <c r="GS75" i="2"/>
  <c r="GS62" i="2"/>
  <c r="GS61" i="2"/>
  <c r="GS60" i="2"/>
  <c r="GS59" i="2"/>
  <c r="GS58" i="2"/>
  <c r="GS45" i="2"/>
  <c r="GS44" i="2"/>
  <c r="GS43" i="2"/>
  <c r="GS42" i="2"/>
  <c r="GS41" i="2"/>
  <c r="GS28" i="2"/>
  <c r="GS27" i="2"/>
  <c r="GS26" i="2"/>
  <c r="GS25" i="2"/>
  <c r="GS24" i="2"/>
  <c r="GS8" i="2"/>
  <c r="GS9" i="2"/>
  <c r="GS10" i="2"/>
  <c r="GS11" i="2"/>
  <c r="GS7" i="2"/>
  <c r="HF102" i="2"/>
  <c r="HE102" i="2"/>
  <c r="HD102" i="2"/>
  <c r="HB102" i="2"/>
  <c r="GZ102" i="2"/>
  <c r="GY102" i="2"/>
  <c r="GX102" i="2"/>
  <c r="GW102" i="2"/>
  <c r="GV102" i="2"/>
  <c r="AW102" i="2"/>
  <c r="Z102" i="2"/>
  <c r="M102" i="2"/>
  <c r="L102" i="2"/>
  <c r="K102" i="2"/>
  <c r="J102" i="2"/>
  <c r="H102" i="2"/>
  <c r="F102" i="2"/>
  <c r="E102" i="2"/>
  <c r="D102" i="2"/>
  <c r="C102" i="2"/>
  <c r="B102" i="2"/>
  <c r="OL96" i="2"/>
  <c r="OK96" i="2"/>
  <c r="OJ96" i="2"/>
  <c r="OI96" i="2"/>
  <c r="OH96" i="2"/>
  <c r="OG96" i="2"/>
  <c r="OF96" i="2"/>
  <c r="OE96" i="2"/>
  <c r="OD96" i="2"/>
  <c r="OC96" i="2"/>
  <c r="OB96" i="2"/>
  <c r="OA96" i="2"/>
  <c r="NZ96" i="2"/>
  <c r="NY96" i="2"/>
  <c r="NX96" i="2"/>
  <c r="NW96" i="2"/>
  <c r="NV96" i="2"/>
  <c r="NU96" i="2"/>
  <c r="NT96" i="2"/>
  <c r="NS96" i="2"/>
  <c r="NR96" i="2"/>
  <c r="NQ96" i="2"/>
  <c r="NP96" i="2"/>
  <c r="NO96" i="2"/>
  <c r="NN96" i="2"/>
  <c r="NM96" i="2"/>
  <c r="NL96" i="2"/>
  <c r="NK96" i="2"/>
  <c r="NJ96" i="2"/>
  <c r="NI96" i="2"/>
  <c r="NH96" i="2"/>
  <c r="NG96" i="2"/>
  <c r="NF96" i="2"/>
  <c r="NE96" i="2"/>
  <c r="ND96" i="2"/>
  <c r="NC96" i="2"/>
  <c r="NB96" i="2"/>
  <c r="NA96" i="2"/>
  <c r="MZ96" i="2"/>
  <c r="MY96" i="2"/>
  <c r="MX96" i="2"/>
  <c r="MW96" i="2"/>
  <c r="MV96" i="2"/>
  <c r="MU96" i="2"/>
  <c r="MT96" i="2"/>
  <c r="MS96" i="2"/>
  <c r="MR96" i="2"/>
  <c r="MQ96" i="2"/>
  <c r="MP96" i="2"/>
  <c r="MO96" i="2"/>
  <c r="MN96" i="2"/>
  <c r="MM96" i="2"/>
  <c r="ML96" i="2"/>
  <c r="MK96" i="2"/>
  <c r="MJ96" i="2"/>
  <c r="MI96" i="2"/>
  <c r="MH96" i="2"/>
  <c r="MG96" i="2"/>
  <c r="MF96" i="2"/>
  <c r="ME96" i="2"/>
  <c r="MD96" i="2"/>
  <c r="MC96" i="2"/>
  <c r="MB96" i="2"/>
  <c r="MA96" i="2"/>
  <c r="LZ96" i="2"/>
  <c r="LY96" i="2"/>
  <c r="LX96" i="2"/>
  <c r="LW96" i="2"/>
  <c r="LV96" i="2"/>
  <c r="LU96" i="2"/>
  <c r="LT96" i="2"/>
  <c r="LS96" i="2"/>
  <c r="LR96" i="2"/>
  <c r="LQ96" i="2"/>
  <c r="LP96" i="2"/>
  <c r="LO96" i="2"/>
  <c r="LN96" i="2"/>
  <c r="LM96" i="2"/>
  <c r="LL96" i="2"/>
  <c r="LK96" i="2"/>
  <c r="LJ96" i="2"/>
  <c r="LI96" i="2"/>
  <c r="LH96" i="2"/>
  <c r="LG96" i="2"/>
  <c r="LF96" i="2"/>
  <c r="LE96" i="2"/>
  <c r="LD96" i="2"/>
  <c r="LC96" i="2"/>
  <c r="LB96" i="2"/>
  <c r="LA96" i="2"/>
  <c r="KZ96" i="2"/>
  <c r="KY96" i="2"/>
  <c r="KX96" i="2"/>
  <c r="KW96" i="2"/>
  <c r="KV96" i="2"/>
  <c r="KU96" i="2"/>
  <c r="KT96" i="2"/>
  <c r="KS96" i="2"/>
  <c r="KR96" i="2"/>
  <c r="KQ96" i="2"/>
  <c r="KP96" i="2"/>
  <c r="KO96" i="2"/>
  <c r="KN96" i="2"/>
  <c r="KM96" i="2"/>
  <c r="KL96" i="2"/>
  <c r="KK96" i="2"/>
  <c r="KJ96" i="2"/>
  <c r="KI96" i="2"/>
  <c r="KH96" i="2"/>
  <c r="KG96" i="2"/>
  <c r="KF96" i="2"/>
  <c r="KE96" i="2"/>
  <c r="KD96" i="2"/>
  <c r="KC96" i="2"/>
  <c r="KB96" i="2"/>
  <c r="KA96" i="2"/>
  <c r="JZ96" i="2"/>
  <c r="JY96" i="2"/>
  <c r="JX96" i="2"/>
  <c r="JW96" i="2"/>
  <c r="JV96" i="2"/>
  <c r="JU96" i="2"/>
  <c r="JT96" i="2"/>
  <c r="JS96" i="2"/>
  <c r="JR96" i="2"/>
  <c r="JQ96" i="2"/>
  <c r="JP96" i="2"/>
  <c r="JO96" i="2"/>
  <c r="JN96" i="2"/>
  <c r="JM96" i="2"/>
  <c r="JL96" i="2"/>
  <c r="JK96" i="2"/>
  <c r="JJ96" i="2"/>
  <c r="JI96" i="2"/>
  <c r="JH96" i="2"/>
  <c r="JG96" i="2"/>
  <c r="JF96" i="2"/>
  <c r="JE96" i="2"/>
  <c r="JD96" i="2"/>
  <c r="JC96" i="2"/>
  <c r="JB96" i="2"/>
  <c r="JA96" i="2"/>
  <c r="IZ96" i="2"/>
  <c r="IY96" i="2"/>
  <c r="IX96" i="2"/>
  <c r="IW96" i="2"/>
  <c r="IV96" i="2"/>
  <c r="IU96" i="2"/>
  <c r="IT96" i="2"/>
  <c r="IS96" i="2"/>
  <c r="IR96" i="2"/>
  <c r="IQ96" i="2"/>
  <c r="IP96" i="2"/>
  <c r="IO96" i="2"/>
  <c r="IN96" i="2"/>
  <c r="IM96" i="2"/>
  <c r="IL96" i="2"/>
  <c r="IK96" i="2"/>
  <c r="IJ96" i="2"/>
  <c r="II96" i="2"/>
  <c r="IH96" i="2"/>
  <c r="IG96" i="2"/>
  <c r="IF96" i="2"/>
  <c r="IE96" i="2"/>
  <c r="ID96" i="2"/>
  <c r="IC96" i="2"/>
  <c r="IB96" i="2"/>
  <c r="IA96" i="2"/>
  <c r="HZ96" i="2"/>
  <c r="HY96" i="2"/>
  <c r="HX96" i="2"/>
  <c r="HW96" i="2"/>
  <c r="HV96" i="2"/>
  <c r="HU96" i="2"/>
  <c r="HT96" i="2"/>
  <c r="HS96" i="2"/>
  <c r="HR96" i="2"/>
  <c r="HQ96" i="2"/>
  <c r="HP96" i="2"/>
  <c r="HO96" i="2"/>
  <c r="HN96" i="2"/>
  <c r="HM96" i="2"/>
  <c r="HL96" i="2"/>
  <c r="HK96" i="2"/>
  <c r="HJ96" i="2"/>
  <c r="HI96" i="2"/>
  <c r="HH96" i="2"/>
  <c r="HC96" i="2"/>
  <c r="HB96" i="2"/>
  <c r="GZ96" i="2"/>
  <c r="GX96" i="2"/>
  <c r="GW96" i="2"/>
  <c r="M96" i="2"/>
  <c r="HG96" i="2" s="1"/>
  <c r="L96" i="2"/>
  <c r="HF96" i="2" s="1"/>
  <c r="K96" i="2"/>
  <c r="HE96" i="2" s="1"/>
  <c r="J96" i="2"/>
  <c r="HD96" i="2" s="1"/>
  <c r="H96" i="2"/>
  <c r="G96" i="2"/>
  <c r="HA96" i="2" s="1"/>
  <c r="F96" i="2"/>
  <c r="E96" i="2"/>
  <c r="GY96" i="2" s="1"/>
  <c r="OL95" i="2"/>
  <c r="OK95" i="2"/>
  <c r="OJ95" i="2"/>
  <c r="OI95" i="2"/>
  <c r="OH95" i="2"/>
  <c r="OG95" i="2"/>
  <c r="OF95" i="2"/>
  <c r="OE95" i="2"/>
  <c r="OD95" i="2"/>
  <c r="OC95" i="2"/>
  <c r="OB95" i="2"/>
  <c r="OA95" i="2"/>
  <c r="NZ95" i="2"/>
  <c r="NY95" i="2"/>
  <c r="NX95" i="2"/>
  <c r="NW95" i="2"/>
  <c r="NV95" i="2"/>
  <c r="NU95" i="2"/>
  <c r="NT95" i="2"/>
  <c r="NS95" i="2"/>
  <c r="NR95" i="2"/>
  <c r="NQ95" i="2"/>
  <c r="NP95" i="2"/>
  <c r="NO95" i="2"/>
  <c r="NN95" i="2"/>
  <c r="NM95" i="2"/>
  <c r="NL95" i="2"/>
  <c r="NK95" i="2"/>
  <c r="NJ95" i="2"/>
  <c r="NI95" i="2"/>
  <c r="NH95" i="2"/>
  <c r="NG95" i="2"/>
  <c r="NF95" i="2"/>
  <c r="NE95" i="2"/>
  <c r="ND95" i="2"/>
  <c r="NC95" i="2"/>
  <c r="NB95" i="2"/>
  <c r="NA95" i="2"/>
  <c r="MZ95" i="2"/>
  <c r="MY95" i="2"/>
  <c r="MX95" i="2"/>
  <c r="MW95" i="2"/>
  <c r="MV95" i="2"/>
  <c r="MU95" i="2"/>
  <c r="MT95" i="2"/>
  <c r="MS95" i="2"/>
  <c r="MR95" i="2"/>
  <c r="MQ95" i="2"/>
  <c r="MP95" i="2"/>
  <c r="MO95" i="2"/>
  <c r="MN95" i="2"/>
  <c r="MM95" i="2"/>
  <c r="ML95" i="2"/>
  <c r="MK95" i="2"/>
  <c r="MJ95" i="2"/>
  <c r="MI95" i="2"/>
  <c r="MH95" i="2"/>
  <c r="MG95" i="2"/>
  <c r="MF95" i="2"/>
  <c r="ME95" i="2"/>
  <c r="MD95" i="2"/>
  <c r="MC95" i="2"/>
  <c r="MB95" i="2"/>
  <c r="MA95" i="2"/>
  <c r="LZ95" i="2"/>
  <c r="LY95" i="2"/>
  <c r="LX95" i="2"/>
  <c r="LW95" i="2"/>
  <c r="LV95" i="2"/>
  <c r="LU95" i="2"/>
  <c r="LT95" i="2"/>
  <c r="LS95" i="2"/>
  <c r="LR95" i="2"/>
  <c r="LQ95" i="2"/>
  <c r="LP95" i="2"/>
  <c r="LO95" i="2"/>
  <c r="LN95" i="2"/>
  <c r="LM95" i="2"/>
  <c r="LL95" i="2"/>
  <c r="LK95" i="2"/>
  <c r="LJ95" i="2"/>
  <c r="LI95" i="2"/>
  <c r="LH95" i="2"/>
  <c r="LG95" i="2"/>
  <c r="LF95" i="2"/>
  <c r="LE95" i="2"/>
  <c r="LD95" i="2"/>
  <c r="LC95" i="2"/>
  <c r="LB95" i="2"/>
  <c r="LA95" i="2"/>
  <c r="KZ95" i="2"/>
  <c r="KY95" i="2"/>
  <c r="KX95" i="2"/>
  <c r="KW95" i="2"/>
  <c r="KV95" i="2"/>
  <c r="KU95" i="2"/>
  <c r="KT95" i="2"/>
  <c r="KS95" i="2"/>
  <c r="KR95" i="2"/>
  <c r="KQ95" i="2"/>
  <c r="KP95" i="2"/>
  <c r="KO95" i="2"/>
  <c r="KN95" i="2"/>
  <c r="KM95" i="2"/>
  <c r="KL95" i="2"/>
  <c r="KK95" i="2"/>
  <c r="KJ95" i="2"/>
  <c r="KI95" i="2"/>
  <c r="KH95" i="2"/>
  <c r="KG95" i="2"/>
  <c r="KF95" i="2"/>
  <c r="KE95" i="2"/>
  <c r="KD95" i="2"/>
  <c r="KC95" i="2"/>
  <c r="KB95" i="2"/>
  <c r="KA95" i="2"/>
  <c r="JZ95" i="2"/>
  <c r="JY95" i="2"/>
  <c r="JX95" i="2"/>
  <c r="JW95" i="2"/>
  <c r="JV95" i="2"/>
  <c r="JU95" i="2"/>
  <c r="JT95" i="2"/>
  <c r="JS95" i="2"/>
  <c r="JR95" i="2"/>
  <c r="JQ95" i="2"/>
  <c r="JP95" i="2"/>
  <c r="JO95" i="2"/>
  <c r="JN95" i="2"/>
  <c r="JM95" i="2"/>
  <c r="JL95" i="2"/>
  <c r="JK95" i="2"/>
  <c r="JJ95" i="2"/>
  <c r="JI95" i="2"/>
  <c r="JH95" i="2"/>
  <c r="JG95" i="2"/>
  <c r="JF95" i="2"/>
  <c r="JE95" i="2"/>
  <c r="JD95" i="2"/>
  <c r="JC95" i="2"/>
  <c r="JB95" i="2"/>
  <c r="JA95" i="2"/>
  <c r="IZ95" i="2"/>
  <c r="IY95" i="2"/>
  <c r="IX95" i="2"/>
  <c r="IW95" i="2"/>
  <c r="IV95" i="2"/>
  <c r="IU95" i="2"/>
  <c r="IT95" i="2"/>
  <c r="IS95" i="2"/>
  <c r="IR95" i="2"/>
  <c r="IQ95" i="2"/>
  <c r="IP95" i="2"/>
  <c r="IO95" i="2"/>
  <c r="IN95" i="2"/>
  <c r="IM95" i="2"/>
  <c r="IL95" i="2"/>
  <c r="IK95" i="2"/>
  <c r="IJ95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G95" i="2"/>
  <c r="HA95" i="2"/>
  <c r="GY95" i="2"/>
  <c r="GX95" i="2"/>
  <c r="GW95" i="2"/>
  <c r="M95" i="2"/>
  <c r="HH95" i="2" s="1"/>
  <c r="L95" i="2"/>
  <c r="HF95" i="2" s="1"/>
  <c r="K95" i="2"/>
  <c r="HE95" i="2" s="1"/>
  <c r="J95" i="2"/>
  <c r="HD95" i="2" s="1"/>
  <c r="H95" i="2"/>
  <c r="HC95" i="2" s="1"/>
  <c r="G95" i="2"/>
  <c r="F95" i="2"/>
  <c r="OL94" i="2"/>
  <c r="OK94" i="2"/>
  <c r="OJ94" i="2"/>
  <c r="OI94" i="2"/>
  <c r="OH94" i="2"/>
  <c r="OG94" i="2"/>
  <c r="OF94" i="2"/>
  <c r="OE94" i="2"/>
  <c r="OD94" i="2"/>
  <c r="OC94" i="2"/>
  <c r="OB94" i="2"/>
  <c r="OA94" i="2"/>
  <c r="NZ94" i="2"/>
  <c r="NY94" i="2"/>
  <c r="NX94" i="2"/>
  <c r="NW94" i="2"/>
  <c r="NV94" i="2"/>
  <c r="NU94" i="2"/>
  <c r="NT94" i="2"/>
  <c r="NS94" i="2"/>
  <c r="NR94" i="2"/>
  <c r="NQ94" i="2"/>
  <c r="NP94" i="2"/>
  <c r="NO94" i="2"/>
  <c r="NN94" i="2"/>
  <c r="NM94" i="2"/>
  <c r="NL94" i="2"/>
  <c r="NK94" i="2"/>
  <c r="NJ94" i="2"/>
  <c r="NI94" i="2"/>
  <c r="NH94" i="2"/>
  <c r="NG94" i="2"/>
  <c r="NF94" i="2"/>
  <c r="NE94" i="2"/>
  <c r="ND94" i="2"/>
  <c r="NC94" i="2"/>
  <c r="NB94" i="2"/>
  <c r="NA94" i="2"/>
  <c r="MZ94" i="2"/>
  <c r="MY94" i="2"/>
  <c r="MX94" i="2"/>
  <c r="MW94" i="2"/>
  <c r="MV94" i="2"/>
  <c r="MU94" i="2"/>
  <c r="MT94" i="2"/>
  <c r="MS94" i="2"/>
  <c r="MR94" i="2"/>
  <c r="MQ94" i="2"/>
  <c r="MP94" i="2"/>
  <c r="MO94" i="2"/>
  <c r="MN94" i="2"/>
  <c r="MM94" i="2"/>
  <c r="ML94" i="2"/>
  <c r="MK94" i="2"/>
  <c r="MJ94" i="2"/>
  <c r="MI94" i="2"/>
  <c r="MH94" i="2"/>
  <c r="MG94" i="2"/>
  <c r="MF94" i="2"/>
  <c r="ME94" i="2"/>
  <c r="MD94" i="2"/>
  <c r="MC94" i="2"/>
  <c r="MB94" i="2"/>
  <c r="MA94" i="2"/>
  <c r="LZ94" i="2"/>
  <c r="LY94" i="2"/>
  <c r="LX94" i="2"/>
  <c r="LW94" i="2"/>
  <c r="LV94" i="2"/>
  <c r="LU94" i="2"/>
  <c r="LT94" i="2"/>
  <c r="LS94" i="2"/>
  <c r="LR94" i="2"/>
  <c r="LQ94" i="2"/>
  <c r="LP94" i="2"/>
  <c r="LO94" i="2"/>
  <c r="LN94" i="2"/>
  <c r="LM94" i="2"/>
  <c r="LL94" i="2"/>
  <c r="LK94" i="2"/>
  <c r="LJ94" i="2"/>
  <c r="LI94" i="2"/>
  <c r="LH94" i="2"/>
  <c r="LG94" i="2"/>
  <c r="LF94" i="2"/>
  <c r="LE94" i="2"/>
  <c r="LD94" i="2"/>
  <c r="LC94" i="2"/>
  <c r="LB94" i="2"/>
  <c r="LA94" i="2"/>
  <c r="KZ94" i="2"/>
  <c r="KY94" i="2"/>
  <c r="KX94" i="2"/>
  <c r="KW94" i="2"/>
  <c r="KV94" i="2"/>
  <c r="KU94" i="2"/>
  <c r="KT94" i="2"/>
  <c r="KS94" i="2"/>
  <c r="KR94" i="2"/>
  <c r="KQ94" i="2"/>
  <c r="KP94" i="2"/>
  <c r="KO94" i="2"/>
  <c r="KN94" i="2"/>
  <c r="KM94" i="2"/>
  <c r="KL94" i="2"/>
  <c r="KK94" i="2"/>
  <c r="KJ94" i="2"/>
  <c r="KI94" i="2"/>
  <c r="KH94" i="2"/>
  <c r="KG94" i="2"/>
  <c r="KF94" i="2"/>
  <c r="KE94" i="2"/>
  <c r="KD94" i="2"/>
  <c r="KC94" i="2"/>
  <c r="KB94" i="2"/>
  <c r="KA94" i="2"/>
  <c r="JZ94" i="2"/>
  <c r="JY94" i="2"/>
  <c r="JX94" i="2"/>
  <c r="JW94" i="2"/>
  <c r="JV94" i="2"/>
  <c r="JU94" i="2"/>
  <c r="JT94" i="2"/>
  <c r="JS94" i="2"/>
  <c r="JR94" i="2"/>
  <c r="JQ94" i="2"/>
  <c r="JP94" i="2"/>
  <c r="JO94" i="2"/>
  <c r="JN94" i="2"/>
  <c r="JM94" i="2"/>
  <c r="JL94" i="2"/>
  <c r="JK94" i="2"/>
  <c r="JJ94" i="2"/>
  <c r="JI94" i="2"/>
  <c r="JH94" i="2"/>
  <c r="JG94" i="2"/>
  <c r="JF94" i="2"/>
  <c r="JE94" i="2"/>
  <c r="JD94" i="2"/>
  <c r="JC94" i="2"/>
  <c r="JB94" i="2"/>
  <c r="JA94" i="2"/>
  <c r="IZ94" i="2"/>
  <c r="IY94" i="2"/>
  <c r="IX94" i="2"/>
  <c r="IW94" i="2"/>
  <c r="IV94" i="2"/>
  <c r="IU94" i="2"/>
  <c r="IT94" i="2"/>
  <c r="IS94" i="2"/>
  <c r="IR94" i="2"/>
  <c r="IQ94" i="2"/>
  <c r="IP94" i="2"/>
  <c r="IO94" i="2"/>
  <c r="IN94" i="2"/>
  <c r="IM94" i="2"/>
  <c r="IL94" i="2"/>
  <c r="IK94" i="2"/>
  <c r="IJ94" i="2"/>
  <c r="II94" i="2"/>
  <c r="IH94" i="2"/>
  <c r="IG94" i="2"/>
  <c r="IF94" i="2"/>
  <c r="IE94" i="2"/>
  <c r="ID94" i="2"/>
  <c r="IC94" i="2"/>
  <c r="IB94" i="2"/>
  <c r="IA94" i="2"/>
  <c r="HZ94" i="2"/>
  <c r="HY94" i="2"/>
  <c r="HX94" i="2"/>
  <c r="HW94" i="2"/>
  <c r="HV94" i="2"/>
  <c r="HU94" i="2"/>
  <c r="HT94" i="2"/>
  <c r="HS94" i="2"/>
  <c r="HR94" i="2"/>
  <c r="HQ94" i="2"/>
  <c r="HP94" i="2"/>
  <c r="HO94" i="2"/>
  <c r="HN94" i="2"/>
  <c r="HM94" i="2"/>
  <c r="HL94" i="2"/>
  <c r="HK94" i="2"/>
  <c r="HJ94" i="2"/>
  <c r="HI94" i="2"/>
  <c r="HH94" i="2"/>
  <c r="HG94" i="2"/>
  <c r="HE94" i="2"/>
  <c r="GY94" i="2"/>
  <c r="GX94" i="2"/>
  <c r="GW94" i="2"/>
  <c r="M94" i="2"/>
  <c r="L94" i="2"/>
  <c r="HF94" i="2" s="1"/>
  <c r="K94" i="2"/>
  <c r="J94" i="2"/>
  <c r="HD94" i="2" s="1"/>
  <c r="H94" i="2"/>
  <c r="HC94" i="2" s="1"/>
  <c r="G94" i="2"/>
  <c r="HA94" i="2" s="1"/>
  <c r="F94" i="2"/>
  <c r="OL93" i="2"/>
  <c r="OK93" i="2"/>
  <c r="OJ93" i="2"/>
  <c r="OI93" i="2"/>
  <c r="OH93" i="2"/>
  <c r="OG93" i="2"/>
  <c r="OF93" i="2"/>
  <c r="OE93" i="2"/>
  <c r="OD93" i="2"/>
  <c r="OC93" i="2"/>
  <c r="OB93" i="2"/>
  <c r="OA93" i="2"/>
  <c r="NZ93" i="2"/>
  <c r="NY93" i="2"/>
  <c r="NX93" i="2"/>
  <c r="NW93" i="2"/>
  <c r="NV93" i="2"/>
  <c r="NU93" i="2"/>
  <c r="NT93" i="2"/>
  <c r="NS93" i="2"/>
  <c r="NR93" i="2"/>
  <c r="NQ93" i="2"/>
  <c r="NP93" i="2"/>
  <c r="NO93" i="2"/>
  <c r="NN93" i="2"/>
  <c r="NM93" i="2"/>
  <c r="NL93" i="2"/>
  <c r="NK93" i="2"/>
  <c r="NJ93" i="2"/>
  <c r="NI93" i="2"/>
  <c r="NH93" i="2"/>
  <c r="NG93" i="2"/>
  <c r="NF93" i="2"/>
  <c r="NE93" i="2"/>
  <c r="ND93" i="2"/>
  <c r="NC93" i="2"/>
  <c r="NB93" i="2"/>
  <c r="NA93" i="2"/>
  <c r="MZ93" i="2"/>
  <c r="MY93" i="2"/>
  <c r="MX93" i="2"/>
  <c r="MW93" i="2"/>
  <c r="MV93" i="2"/>
  <c r="MU93" i="2"/>
  <c r="MT93" i="2"/>
  <c r="MS93" i="2"/>
  <c r="MR93" i="2"/>
  <c r="MQ93" i="2"/>
  <c r="MP93" i="2"/>
  <c r="MO93" i="2"/>
  <c r="MN93" i="2"/>
  <c r="MM93" i="2"/>
  <c r="ML93" i="2"/>
  <c r="MK93" i="2"/>
  <c r="MJ93" i="2"/>
  <c r="MI93" i="2"/>
  <c r="MH93" i="2"/>
  <c r="MG93" i="2"/>
  <c r="MF93" i="2"/>
  <c r="ME93" i="2"/>
  <c r="MD93" i="2"/>
  <c r="MC93" i="2"/>
  <c r="MB93" i="2"/>
  <c r="MA93" i="2"/>
  <c r="LZ93" i="2"/>
  <c r="LY93" i="2"/>
  <c r="LX93" i="2"/>
  <c r="LW93" i="2"/>
  <c r="LV93" i="2"/>
  <c r="LU93" i="2"/>
  <c r="LT93" i="2"/>
  <c r="LS93" i="2"/>
  <c r="LR93" i="2"/>
  <c r="LQ93" i="2"/>
  <c r="LP93" i="2"/>
  <c r="LO93" i="2"/>
  <c r="LN93" i="2"/>
  <c r="LM93" i="2"/>
  <c r="LL93" i="2"/>
  <c r="LK93" i="2"/>
  <c r="LJ93" i="2"/>
  <c r="LI93" i="2"/>
  <c r="LH93" i="2"/>
  <c r="LG93" i="2"/>
  <c r="LF93" i="2"/>
  <c r="LE93" i="2"/>
  <c r="OL92" i="2"/>
  <c r="OK92" i="2"/>
  <c r="OJ92" i="2"/>
  <c r="OI92" i="2"/>
  <c r="OH92" i="2"/>
  <c r="OG92" i="2"/>
  <c r="OF92" i="2"/>
  <c r="OE92" i="2"/>
  <c r="OD92" i="2"/>
  <c r="OC92" i="2"/>
  <c r="OB92" i="2"/>
  <c r="OA92" i="2"/>
  <c r="NZ92" i="2"/>
  <c r="NY92" i="2"/>
  <c r="NX92" i="2"/>
  <c r="NW92" i="2"/>
  <c r="NV92" i="2"/>
  <c r="NU92" i="2"/>
  <c r="NT92" i="2"/>
  <c r="NS92" i="2"/>
  <c r="NR92" i="2"/>
  <c r="NQ92" i="2"/>
  <c r="NP92" i="2"/>
  <c r="NO92" i="2"/>
  <c r="NN92" i="2"/>
  <c r="NM92" i="2"/>
  <c r="NL92" i="2"/>
  <c r="NK92" i="2"/>
  <c r="NJ92" i="2"/>
  <c r="NI92" i="2"/>
  <c r="NH92" i="2"/>
  <c r="NG92" i="2"/>
  <c r="NF92" i="2"/>
  <c r="NE92" i="2"/>
  <c r="ND92" i="2"/>
  <c r="NC92" i="2"/>
  <c r="NB92" i="2"/>
  <c r="NA92" i="2"/>
  <c r="MZ92" i="2"/>
  <c r="MY92" i="2"/>
  <c r="MX92" i="2"/>
  <c r="MW92" i="2"/>
  <c r="MV92" i="2"/>
  <c r="MU92" i="2"/>
  <c r="MT92" i="2"/>
  <c r="MS92" i="2"/>
  <c r="MR92" i="2"/>
  <c r="MQ92" i="2"/>
  <c r="MP92" i="2"/>
  <c r="MO92" i="2"/>
  <c r="MN92" i="2"/>
  <c r="MM92" i="2"/>
  <c r="ML92" i="2"/>
  <c r="MK92" i="2"/>
  <c r="MJ92" i="2"/>
  <c r="MI92" i="2"/>
  <c r="MH92" i="2"/>
  <c r="MG92" i="2"/>
  <c r="MF92" i="2"/>
  <c r="ME92" i="2"/>
  <c r="MD92" i="2"/>
  <c r="MC92" i="2"/>
  <c r="MB92" i="2"/>
  <c r="MA92" i="2"/>
  <c r="LZ92" i="2"/>
  <c r="LY92" i="2"/>
  <c r="LX92" i="2"/>
  <c r="LW92" i="2"/>
  <c r="LV92" i="2"/>
  <c r="LU92" i="2"/>
  <c r="LT92" i="2"/>
  <c r="LS92" i="2"/>
  <c r="LR92" i="2"/>
  <c r="LQ92" i="2"/>
  <c r="LP92" i="2"/>
  <c r="LO92" i="2"/>
  <c r="LN92" i="2"/>
  <c r="LM92" i="2"/>
  <c r="LL92" i="2"/>
  <c r="LK92" i="2"/>
  <c r="LJ92" i="2"/>
  <c r="LI92" i="2"/>
  <c r="LH92" i="2"/>
  <c r="LG92" i="2"/>
  <c r="LF92" i="2"/>
  <c r="LE92" i="2"/>
  <c r="LD92" i="2"/>
  <c r="LC92" i="2"/>
  <c r="LB92" i="2"/>
  <c r="LA92" i="2"/>
  <c r="KZ92" i="2"/>
  <c r="KY92" i="2"/>
  <c r="KX92" i="2"/>
  <c r="KW92" i="2"/>
  <c r="KV92" i="2"/>
  <c r="KU92" i="2"/>
  <c r="KT92" i="2"/>
  <c r="KS92" i="2"/>
  <c r="KR92" i="2"/>
  <c r="KQ92" i="2"/>
  <c r="KP92" i="2"/>
  <c r="KO92" i="2"/>
  <c r="KN92" i="2"/>
  <c r="KM92" i="2"/>
  <c r="KL92" i="2"/>
  <c r="KK92" i="2"/>
  <c r="KJ92" i="2"/>
  <c r="KI92" i="2"/>
  <c r="KH92" i="2"/>
  <c r="KG92" i="2"/>
  <c r="KF92" i="2"/>
  <c r="KE92" i="2"/>
  <c r="KD92" i="2"/>
  <c r="KC92" i="2"/>
  <c r="KB92" i="2"/>
  <c r="KA92" i="2"/>
  <c r="JZ92" i="2"/>
  <c r="JY92" i="2"/>
  <c r="JX92" i="2"/>
  <c r="JW92" i="2"/>
  <c r="JV92" i="2"/>
  <c r="JU92" i="2"/>
  <c r="JT92" i="2"/>
  <c r="JS92" i="2"/>
  <c r="JR92" i="2"/>
  <c r="JQ92" i="2"/>
  <c r="JP92" i="2"/>
  <c r="JO92" i="2"/>
  <c r="JN92" i="2"/>
  <c r="JM92" i="2"/>
  <c r="JL92" i="2"/>
  <c r="JK92" i="2"/>
  <c r="JJ92" i="2"/>
  <c r="JI92" i="2"/>
  <c r="JH92" i="2"/>
  <c r="JG92" i="2"/>
  <c r="JF92" i="2"/>
  <c r="JE92" i="2"/>
  <c r="JD92" i="2"/>
  <c r="JC92" i="2"/>
  <c r="JB92" i="2"/>
  <c r="JA92" i="2"/>
  <c r="IZ92" i="2"/>
  <c r="IY92" i="2"/>
  <c r="IX92" i="2"/>
  <c r="IW92" i="2"/>
  <c r="IV92" i="2"/>
  <c r="IU92" i="2"/>
  <c r="IT92" i="2"/>
  <c r="IS92" i="2"/>
  <c r="IR92" i="2"/>
  <c r="IQ92" i="2"/>
  <c r="IP92" i="2"/>
  <c r="IO92" i="2"/>
  <c r="IN92" i="2"/>
  <c r="IM92" i="2"/>
  <c r="IL92" i="2"/>
  <c r="IK92" i="2"/>
  <c r="IJ92" i="2"/>
  <c r="II92" i="2"/>
  <c r="IH92" i="2"/>
  <c r="IG92" i="2"/>
  <c r="IF92" i="2"/>
  <c r="IE92" i="2"/>
  <c r="ID92" i="2"/>
  <c r="IC92" i="2"/>
  <c r="IB92" i="2"/>
  <c r="IA92" i="2"/>
  <c r="HZ92" i="2"/>
  <c r="HY92" i="2"/>
  <c r="HX92" i="2"/>
  <c r="HW92" i="2"/>
  <c r="HV92" i="2"/>
  <c r="HU92" i="2"/>
  <c r="HT92" i="2"/>
  <c r="HS92" i="2"/>
  <c r="HR92" i="2"/>
  <c r="HQ92" i="2"/>
  <c r="HP92" i="2"/>
  <c r="HO92" i="2"/>
  <c r="HN92" i="2"/>
  <c r="HM92" i="2"/>
  <c r="HL92" i="2"/>
  <c r="HK92" i="2"/>
  <c r="HJ92" i="2"/>
  <c r="HI92" i="2"/>
  <c r="HH92" i="2"/>
  <c r="HE92" i="2"/>
  <c r="HD92" i="2"/>
  <c r="HB92" i="2"/>
  <c r="GY92" i="2"/>
  <c r="GX92" i="2"/>
  <c r="GW92" i="2"/>
  <c r="M92" i="2"/>
  <c r="HG92" i="2" s="1"/>
  <c r="L92" i="2"/>
  <c r="HF92" i="2" s="1"/>
  <c r="K92" i="2"/>
  <c r="J92" i="2"/>
  <c r="H92" i="2"/>
  <c r="HC92" i="2" s="1"/>
  <c r="G92" i="2"/>
  <c r="HA92" i="2" s="1"/>
  <c r="F92" i="2"/>
  <c r="GZ92" i="2" s="1"/>
  <c r="HF85" i="2"/>
  <c r="HE85" i="2"/>
  <c r="HD85" i="2"/>
  <c r="HB85" i="2"/>
  <c r="GZ85" i="2"/>
  <c r="GY85" i="2"/>
  <c r="GX85" i="2"/>
  <c r="GW85" i="2"/>
  <c r="GV85" i="2"/>
  <c r="AW85" i="2"/>
  <c r="Z85" i="2"/>
  <c r="M85" i="2"/>
  <c r="L85" i="2"/>
  <c r="K85" i="2"/>
  <c r="J85" i="2"/>
  <c r="H85" i="2"/>
  <c r="F85" i="2"/>
  <c r="E85" i="2"/>
  <c r="D85" i="2"/>
  <c r="C85" i="2"/>
  <c r="B85" i="2"/>
  <c r="OL79" i="2"/>
  <c r="OK79" i="2"/>
  <c r="OJ79" i="2"/>
  <c r="OI79" i="2"/>
  <c r="OH79" i="2"/>
  <c r="OG79" i="2"/>
  <c r="OF79" i="2"/>
  <c r="OE79" i="2"/>
  <c r="OD79" i="2"/>
  <c r="OC79" i="2"/>
  <c r="OB79" i="2"/>
  <c r="OA79" i="2"/>
  <c r="NZ79" i="2"/>
  <c r="NY79" i="2"/>
  <c r="NX79" i="2"/>
  <c r="NW79" i="2"/>
  <c r="NV79" i="2"/>
  <c r="NU79" i="2"/>
  <c r="NT79" i="2"/>
  <c r="NS79" i="2"/>
  <c r="NR79" i="2"/>
  <c r="NQ79" i="2"/>
  <c r="NP79" i="2"/>
  <c r="NO79" i="2"/>
  <c r="NN79" i="2"/>
  <c r="NM79" i="2"/>
  <c r="NL79" i="2"/>
  <c r="NK79" i="2"/>
  <c r="NJ79" i="2"/>
  <c r="NI79" i="2"/>
  <c r="NH79" i="2"/>
  <c r="NG79" i="2"/>
  <c r="NF79" i="2"/>
  <c r="NE79" i="2"/>
  <c r="ND79" i="2"/>
  <c r="NC79" i="2"/>
  <c r="NB79" i="2"/>
  <c r="NA79" i="2"/>
  <c r="MZ79" i="2"/>
  <c r="MY79" i="2"/>
  <c r="MX79" i="2"/>
  <c r="MW79" i="2"/>
  <c r="MV79" i="2"/>
  <c r="MU79" i="2"/>
  <c r="MT79" i="2"/>
  <c r="MS79" i="2"/>
  <c r="MR79" i="2"/>
  <c r="MQ79" i="2"/>
  <c r="MP79" i="2"/>
  <c r="MO79" i="2"/>
  <c r="MN79" i="2"/>
  <c r="MM79" i="2"/>
  <c r="ML79" i="2"/>
  <c r="MK79" i="2"/>
  <c r="MJ79" i="2"/>
  <c r="MI79" i="2"/>
  <c r="MH79" i="2"/>
  <c r="MG79" i="2"/>
  <c r="MF79" i="2"/>
  <c r="ME79" i="2"/>
  <c r="MD79" i="2"/>
  <c r="MC79" i="2"/>
  <c r="MB79" i="2"/>
  <c r="MA79" i="2"/>
  <c r="LZ79" i="2"/>
  <c r="LY79" i="2"/>
  <c r="LX79" i="2"/>
  <c r="LW79" i="2"/>
  <c r="LV79" i="2"/>
  <c r="LU79" i="2"/>
  <c r="LT79" i="2"/>
  <c r="LS79" i="2"/>
  <c r="LR79" i="2"/>
  <c r="LQ79" i="2"/>
  <c r="LP79" i="2"/>
  <c r="LO79" i="2"/>
  <c r="LN79" i="2"/>
  <c r="LM79" i="2"/>
  <c r="LL79" i="2"/>
  <c r="LK79" i="2"/>
  <c r="LJ79" i="2"/>
  <c r="LI79" i="2"/>
  <c r="LH79" i="2"/>
  <c r="LG79" i="2"/>
  <c r="LF79" i="2"/>
  <c r="LE79" i="2"/>
  <c r="LD79" i="2"/>
  <c r="LC79" i="2"/>
  <c r="LB79" i="2"/>
  <c r="LA79" i="2"/>
  <c r="KZ79" i="2"/>
  <c r="KY79" i="2"/>
  <c r="KX79" i="2"/>
  <c r="KW79" i="2"/>
  <c r="KV79" i="2"/>
  <c r="KU79" i="2"/>
  <c r="KT79" i="2"/>
  <c r="KO79" i="2"/>
  <c r="KN79" i="2"/>
  <c r="KM79" i="2"/>
  <c r="KL79" i="2"/>
  <c r="KK79" i="2"/>
  <c r="KJ79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JT79" i="2"/>
  <c r="JS79" i="2"/>
  <c r="JR79" i="2"/>
  <c r="JQ79" i="2"/>
  <c r="JP79" i="2"/>
  <c r="JO79" i="2"/>
  <c r="JN79" i="2"/>
  <c r="JM79" i="2"/>
  <c r="JL79" i="2"/>
  <c r="JK79" i="2"/>
  <c r="JJ79" i="2"/>
  <c r="JI79" i="2"/>
  <c r="JH79" i="2"/>
  <c r="JG79" i="2"/>
  <c r="JF79" i="2"/>
  <c r="JE79" i="2"/>
  <c r="JD79" i="2"/>
  <c r="JC79" i="2"/>
  <c r="JB79" i="2"/>
  <c r="JA79" i="2"/>
  <c r="IZ79" i="2"/>
  <c r="IY79" i="2"/>
  <c r="IX79" i="2"/>
  <c r="IW79" i="2"/>
  <c r="IV79" i="2"/>
  <c r="IU79" i="2"/>
  <c r="IT79" i="2"/>
  <c r="IS79" i="2"/>
  <c r="IR79" i="2"/>
  <c r="IQ79" i="2"/>
  <c r="IP79" i="2"/>
  <c r="IO79" i="2"/>
  <c r="IN79" i="2"/>
  <c r="IM79" i="2"/>
  <c r="IL79" i="2"/>
  <c r="IK79" i="2"/>
  <c r="IJ79" i="2"/>
  <c r="II79" i="2"/>
  <c r="IH79" i="2"/>
  <c r="IG79" i="2"/>
  <c r="IF79" i="2"/>
  <c r="IE79" i="2"/>
  <c r="ID79" i="2"/>
  <c r="IC79" i="2"/>
  <c r="IB79" i="2"/>
  <c r="IA79" i="2"/>
  <c r="HZ79" i="2"/>
  <c r="HY79" i="2"/>
  <c r="HX79" i="2"/>
  <c r="HW79" i="2"/>
  <c r="HV79" i="2"/>
  <c r="HU79" i="2"/>
  <c r="HT79" i="2"/>
  <c r="HS79" i="2"/>
  <c r="HR79" i="2"/>
  <c r="HQ79" i="2"/>
  <c r="HP79" i="2"/>
  <c r="HO79" i="2"/>
  <c r="HN79" i="2"/>
  <c r="HM79" i="2"/>
  <c r="HL79" i="2"/>
  <c r="HK79" i="2"/>
  <c r="HJ79" i="2"/>
  <c r="HI79" i="2"/>
  <c r="HD79" i="2"/>
  <c r="HC79" i="2"/>
  <c r="HA79" i="2"/>
  <c r="GY79" i="2"/>
  <c r="GX79" i="2"/>
  <c r="GW79" i="2"/>
  <c r="M79" i="2"/>
  <c r="HH79" i="2" s="1"/>
  <c r="L79" i="2"/>
  <c r="HF79" i="2" s="1"/>
  <c r="K79" i="2"/>
  <c r="HE79" i="2" s="1"/>
  <c r="J79" i="2"/>
  <c r="H79" i="2"/>
  <c r="HB79" i="2" s="1"/>
  <c r="G79" i="2"/>
  <c r="F79" i="2"/>
  <c r="GZ79" i="2" s="1"/>
  <c r="OL78" i="2"/>
  <c r="OK78" i="2"/>
  <c r="OJ78" i="2"/>
  <c r="OI78" i="2"/>
  <c r="OH78" i="2"/>
  <c r="OG78" i="2"/>
  <c r="OF78" i="2"/>
  <c r="OE78" i="2"/>
  <c r="OD78" i="2"/>
  <c r="OC78" i="2"/>
  <c r="OB78" i="2"/>
  <c r="OA78" i="2"/>
  <c r="NZ78" i="2"/>
  <c r="NY78" i="2"/>
  <c r="NX78" i="2"/>
  <c r="NW78" i="2"/>
  <c r="NV78" i="2"/>
  <c r="NU78" i="2"/>
  <c r="NT78" i="2"/>
  <c r="NS78" i="2"/>
  <c r="NR78" i="2"/>
  <c r="NQ78" i="2"/>
  <c r="NP78" i="2"/>
  <c r="NO78" i="2"/>
  <c r="NN78" i="2"/>
  <c r="NM78" i="2"/>
  <c r="NL78" i="2"/>
  <c r="NK78" i="2"/>
  <c r="NJ78" i="2"/>
  <c r="NI78" i="2"/>
  <c r="NH78" i="2"/>
  <c r="NG78" i="2"/>
  <c r="NF78" i="2"/>
  <c r="NE78" i="2"/>
  <c r="ND78" i="2"/>
  <c r="NC78" i="2"/>
  <c r="NB78" i="2"/>
  <c r="NA78" i="2"/>
  <c r="MZ78" i="2"/>
  <c r="MY78" i="2"/>
  <c r="MX78" i="2"/>
  <c r="MW78" i="2"/>
  <c r="MV78" i="2"/>
  <c r="MU78" i="2"/>
  <c r="MT78" i="2"/>
  <c r="MS78" i="2"/>
  <c r="MR78" i="2"/>
  <c r="MQ78" i="2"/>
  <c r="MP78" i="2"/>
  <c r="MO78" i="2"/>
  <c r="MN78" i="2"/>
  <c r="MM78" i="2"/>
  <c r="ML78" i="2"/>
  <c r="MK78" i="2"/>
  <c r="MJ78" i="2"/>
  <c r="MI78" i="2"/>
  <c r="MH78" i="2"/>
  <c r="MG78" i="2"/>
  <c r="MF78" i="2"/>
  <c r="ME78" i="2"/>
  <c r="MD78" i="2"/>
  <c r="MC78" i="2"/>
  <c r="MB78" i="2"/>
  <c r="MA78" i="2"/>
  <c r="LZ78" i="2"/>
  <c r="LY78" i="2"/>
  <c r="LX78" i="2"/>
  <c r="LW78" i="2"/>
  <c r="LV78" i="2"/>
  <c r="LU78" i="2"/>
  <c r="LT78" i="2"/>
  <c r="LS78" i="2"/>
  <c r="LR78" i="2"/>
  <c r="LQ78" i="2"/>
  <c r="LP78" i="2"/>
  <c r="LO78" i="2"/>
  <c r="LN78" i="2"/>
  <c r="LM78" i="2"/>
  <c r="LL78" i="2"/>
  <c r="LK78" i="2"/>
  <c r="LJ78" i="2"/>
  <c r="LI78" i="2"/>
  <c r="LH78" i="2"/>
  <c r="LG78" i="2"/>
  <c r="LF78" i="2"/>
  <c r="LE78" i="2"/>
  <c r="LD78" i="2"/>
  <c r="LC78" i="2"/>
  <c r="LB78" i="2"/>
  <c r="LA78" i="2"/>
  <c r="KZ78" i="2"/>
  <c r="KY78" i="2"/>
  <c r="KX78" i="2"/>
  <c r="KW78" i="2"/>
  <c r="KV78" i="2"/>
  <c r="KU78" i="2"/>
  <c r="KT78" i="2"/>
  <c r="KS78" i="2"/>
  <c r="KR78" i="2"/>
  <c r="KQ78" i="2"/>
  <c r="KP78" i="2"/>
  <c r="KO78" i="2"/>
  <c r="KN78" i="2"/>
  <c r="KM78" i="2"/>
  <c r="KL78" i="2"/>
  <c r="KK78" i="2"/>
  <c r="KJ78" i="2"/>
  <c r="KI78" i="2"/>
  <c r="KH78" i="2"/>
  <c r="KG78" i="2"/>
  <c r="KF78" i="2"/>
  <c r="KE78" i="2"/>
  <c r="KD78" i="2"/>
  <c r="KC78" i="2"/>
  <c r="KB78" i="2"/>
  <c r="KA78" i="2"/>
  <c r="JZ78" i="2"/>
  <c r="JY78" i="2"/>
  <c r="JX78" i="2"/>
  <c r="JW78" i="2"/>
  <c r="JV78" i="2"/>
  <c r="JU78" i="2"/>
  <c r="JT78" i="2"/>
  <c r="JS78" i="2"/>
  <c r="JR78" i="2"/>
  <c r="JQ78" i="2"/>
  <c r="JP78" i="2"/>
  <c r="JO78" i="2"/>
  <c r="JN78" i="2"/>
  <c r="JM78" i="2"/>
  <c r="JL78" i="2"/>
  <c r="JK78" i="2"/>
  <c r="JJ78" i="2"/>
  <c r="JI78" i="2"/>
  <c r="JH78" i="2"/>
  <c r="JG78" i="2"/>
  <c r="JF78" i="2"/>
  <c r="JE78" i="2"/>
  <c r="JD78" i="2"/>
  <c r="JC78" i="2"/>
  <c r="JB78" i="2"/>
  <c r="JA78" i="2"/>
  <c r="IZ78" i="2"/>
  <c r="IY78" i="2"/>
  <c r="IX78" i="2"/>
  <c r="IW78" i="2"/>
  <c r="IV78" i="2"/>
  <c r="IU78" i="2"/>
  <c r="IT78" i="2"/>
  <c r="IS78" i="2"/>
  <c r="IR78" i="2"/>
  <c r="IQ78" i="2"/>
  <c r="IP78" i="2"/>
  <c r="IO78" i="2"/>
  <c r="IN78" i="2"/>
  <c r="IM78" i="2"/>
  <c r="IL78" i="2"/>
  <c r="IK78" i="2"/>
  <c r="IJ78" i="2"/>
  <c r="II78" i="2"/>
  <c r="IH78" i="2"/>
  <c r="IG78" i="2"/>
  <c r="IF78" i="2"/>
  <c r="IE78" i="2"/>
  <c r="ID78" i="2"/>
  <c r="IC78" i="2"/>
  <c r="IB78" i="2"/>
  <c r="IA78" i="2"/>
  <c r="HZ78" i="2"/>
  <c r="HY78" i="2"/>
  <c r="HX78" i="2"/>
  <c r="HW78" i="2"/>
  <c r="HV78" i="2"/>
  <c r="HU78" i="2"/>
  <c r="HT78" i="2"/>
  <c r="HS78" i="2"/>
  <c r="HR78" i="2"/>
  <c r="HQ78" i="2"/>
  <c r="HP78" i="2"/>
  <c r="HO78" i="2"/>
  <c r="HN78" i="2"/>
  <c r="HM78" i="2"/>
  <c r="HL78" i="2"/>
  <c r="HK78" i="2"/>
  <c r="HJ78" i="2"/>
  <c r="HI78" i="2"/>
  <c r="HG78" i="2"/>
  <c r="HA78" i="2"/>
  <c r="GZ78" i="2"/>
  <c r="GY78" i="2"/>
  <c r="GX78" i="2"/>
  <c r="GW78" i="2"/>
  <c r="M78" i="2"/>
  <c r="HH78" i="2" s="1"/>
  <c r="L78" i="2"/>
  <c r="HF78" i="2" s="1"/>
  <c r="K78" i="2"/>
  <c r="HE78" i="2" s="1"/>
  <c r="J78" i="2"/>
  <c r="HD78" i="2" s="1"/>
  <c r="H78" i="2"/>
  <c r="HC78" i="2" s="1"/>
  <c r="G78" i="2"/>
  <c r="F78" i="2"/>
  <c r="OL77" i="2"/>
  <c r="OK77" i="2"/>
  <c r="OJ77" i="2"/>
  <c r="OI77" i="2"/>
  <c r="OH77" i="2"/>
  <c r="OG77" i="2"/>
  <c r="OF77" i="2"/>
  <c r="OE77" i="2"/>
  <c r="OD77" i="2"/>
  <c r="OC77" i="2"/>
  <c r="OB77" i="2"/>
  <c r="OA77" i="2"/>
  <c r="NZ77" i="2"/>
  <c r="NY77" i="2"/>
  <c r="NX77" i="2"/>
  <c r="NW77" i="2"/>
  <c r="NV77" i="2"/>
  <c r="NU77" i="2"/>
  <c r="NT77" i="2"/>
  <c r="NS77" i="2"/>
  <c r="NR77" i="2"/>
  <c r="NQ77" i="2"/>
  <c r="NP77" i="2"/>
  <c r="NO77" i="2"/>
  <c r="NN77" i="2"/>
  <c r="NM77" i="2"/>
  <c r="NL77" i="2"/>
  <c r="NK77" i="2"/>
  <c r="NJ77" i="2"/>
  <c r="NI77" i="2"/>
  <c r="NH77" i="2"/>
  <c r="NG77" i="2"/>
  <c r="NF77" i="2"/>
  <c r="NE77" i="2"/>
  <c r="ND77" i="2"/>
  <c r="NC77" i="2"/>
  <c r="NB77" i="2"/>
  <c r="NA77" i="2"/>
  <c r="MZ77" i="2"/>
  <c r="MY77" i="2"/>
  <c r="MX77" i="2"/>
  <c r="MW77" i="2"/>
  <c r="MV77" i="2"/>
  <c r="MU77" i="2"/>
  <c r="MT77" i="2"/>
  <c r="MS77" i="2"/>
  <c r="MR77" i="2"/>
  <c r="MQ77" i="2"/>
  <c r="MP77" i="2"/>
  <c r="MO77" i="2"/>
  <c r="MN77" i="2"/>
  <c r="MM77" i="2"/>
  <c r="ML77" i="2"/>
  <c r="MK77" i="2"/>
  <c r="MJ77" i="2"/>
  <c r="MI77" i="2"/>
  <c r="MH77" i="2"/>
  <c r="MG77" i="2"/>
  <c r="MF77" i="2"/>
  <c r="ME77" i="2"/>
  <c r="MD77" i="2"/>
  <c r="MC77" i="2"/>
  <c r="MB77" i="2"/>
  <c r="MA77" i="2"/>
  <c r="LZ77" i="2"/>
  <c r="LY77" i="2"/>
  <c r="LX77" i="2"/>
  <c r="LW77" i="2"/>
  <c r="LV77" i="2"/>
  <c r="LU77" i="2"/>
  <c r="LT77" i="2"/>
  <c r="LS77" i="2"/>
  <c r="LR77" i="2"/>
  <c r="LQ77" i="2"/>
  <c r="LP77" i="2"/>
  <c r="LO77" i="2"/>
  <c r="LN77" i="2"/>
  <c r="LM77" i="2"/>
  <c r="LL77" i="2"/>
  <c r="LK77" i="2"/>
  <c r="LJ77" i="2"/>
  <c r="LI77" i="2"/>
  <c r="LH77" i="2"/>
  <c r="LG77" i="2"/>
  <c r="LF77" i="2"/>
  <c r="LE77" i="2"/>
  <c r="LD77" i="2"/>
  <c r="LC77" i="2"/>
  <c r="LB77" i="2"/>
  <c r="LA77" i="2"/>
  <c r="KZ77" i="2"/>
  <c r="KY77" i="2"/>
  <c r="KX77" i="2"/>
  <c r="KW77" i="2"/>
  <c r="KV77" i="2"/>
  <c r="KU77" i="2"/>
  <c r="KT77" i="2"/>
  <c r="KS77" i="2"/>
  <c r="KR77" i="2"/>
  <c r="KQ77" i="2"/>
  <c r="KP77" i="2"/>
  <c r="KO77" i="2"/>
  <c r="KN77" i="2"/>
  <c r="KM77" i="2"/>
  <c r="KL77" i="2"/>
  <c r="KK77" i="2"/>
  <c r="KJ77" i="2"/>
  <c r="KI77" i="2"/>
  <c r="KH77" i="2"/>
  <c r="KG77" i="2"/>
  <c r="KF77" i="2"/>
  <c r="KE77" i="2"/>
  <c r="KD77" i="2"/>
  <c r="KC77" i="2"/>
  <c r="KB77" i="2"/>
  <c r="KA77" i="2"/>
  <c r="JZ77" i="2"/>
  <c r="JY77" i="2"/>
  <c r="JX77" i="2"/>
  <c r="JW77" i="2"/>
  <c r="JV77" i="2"/>
  <c r="JU77" i="2"/>
  <c r="JT77" i="2"/>
  <c r="JS77" i="2"/>
  <c r="JR77" i="2"/>
  <c r="JQ77" i="2"/>
  <c r="JP77" i="2"/>
  <c r="JO77" i="2"/>
  <c r="JN77" i="2"/>
  <c r="JM77" i="2"/>
  <c r="JL77" i="2"/>
  <c r="JK77" i="2"/>
  <c r="JJ77" i="2"/>
  <c r="JI77" i="2"/>
  <c r="JH77" i="2"/>
  <c r="JG77" i="2"/>
  <c r="JF77" i="2"/>
  <c r="JE77" i="2"/>
  <c r="JD77" i="2"/>
  <c r="JC77" i="2"/>
  <c r="JB77" i="2"/>
  <c r="JA77" i="2"/>
  <c r="IZ77" i="2"/>
  <c r="IY77" i="2"/>
  <c r="IX77" i="2"/>
  <c r="IW77" i="2"/>
  <c r="IV77" i="2"/>
  <c r="IU77" i="2"/>
  <c r="IT77" i="2"/>
  <c r="IS77" i="2"/>
  <c r="IR77" i="2"/>
  <c r="IQ77" i="2"/>
  <c r="IP77" i="2"/>
  <c r="IO77" i="2"/>
  <c r="IN77" i="2"/>
  <c r="IM77" i="2"/>
  <c r="IL77" i="2"/>
  <c r="IK77" i="2"/>
  <c r="IJ77" i="2"/>
  <c r="II77" i="2"/>
  <c r="IH77" i="2"/>
  <c r="IG77" i="2"/>
  <c r="IF77" i="2"/>
  <c r="IE77" i="2"/>
  <c r="ID77" i="2"/>
  <c r="IC77" i="2"/>
  <c r="IB77" i="2"/>
  <c r="IA77" i="2"/>
  <c r="HZ77" i="2"/>
  <c r="HY77" i="2"/>
  <c r="HX77" i="2"/>
  <c r="HW77" i="2"/>
  <c r="HV77" i="2"/>
  <c r="HU77" i="2"/>
  <c r="HT77" i="2"/>
  <c r="HS77" i="2"/>
  <c r="HR77" i="2"/>
  <c r="HQ77" i="2"/>
  <c r="HP77" i="2"/>
  <c r="HO77" i="2"/>
  <c r="HN77" i="2"/>
  <c r="HM77" i="2"/>
  <c r="HL77" i="2"/>
  <c r="HK77" i="2"/>
  <c r="HJ77" i="2"/>
  <c r="HI77" i="2"/>
  <c r="HH77" i="2"/>
  <c r="HG77" i="2"/>
  <c r="HF77" i="2"/>
  <c r="HE77" i="2"/>
  <c r="GY77" i="2"/>
  <c r="GX77" i="2"/>
  <c r="GW77" i="2"/>
  <c r="M77" i="2"/>
  <c r="L77" i="2"/>
  <c r="K77" i="2"/>
  <c r="J77" i="2"/>
  <c r="HD77" i="2" s="1"/>
  <c r="H77" i="2"/>
  <c r="HC77" i="2" s="1"/>
  <c r="G77" i="2"/>
  <c r="HA77" i="2" s="1"/>
  <c r="F77" i="2"/>
  <c r="OL76" i="2"/>
  <c r="OK76" i="2"/>
  <c r="OJ76" i="2"/>
  <c r="OI76" i="2"/>
  <c r="OH76" i="2"/>
  <c r="OG76" i="2"/>
  <c r="OF76" i="2"/>
  <c r="OE76" i="2"/>
  <c r="OD76" i="2"/>
  <c r="OC76" i="2"/>
  <c r="OB76" i="2"/>
  <c r="OA76" i="2"/>
  <c r="NZ76" i="2"/>
  <c r="NY76" i="2"/>
  <c r="NX76" i="2"/>
  <c r="NW76" i="2"/>
  <c r="NV76" i="2"/>
  <c r="NU76" i="2"/>
  <c r="NT76" i="2"/>
  <c r="NS76" i="2"/>
  <c r="NR76" i="2"/>
  <c r="NQ76" i="2"/>
  <c r="NP76" i="2"/>
  <c r="NO76" i="2"/>
  <c r="NN76" i="2"/>
  <c r="NM76" i="2"/>
  <c r="NL76" i="2"/>
  <c r="NK76" i="2"/>
  <c r="NJ76" i="2"/>
  <c r="NI76" i="2"/>
  <c r="NH76" i="2"/>
  <c r="NG76" i="2"/>
  <c r="NF76" i="2"/>
  <c r="NE76" i="2"/>
  <c r="ND76" i="2"/>
  <c r="NC76" i="2"/>
  <c r="NB76" i="2"/>
  <c r="NA76" i="2"/>
  <c r="MZ76" i="2"/>
  <c r="MY76" i="2"/>
  <c r="MX76" i="2"/>
  <c r="MW76" i="2"/>
  <c r="MV76" i="2"/>
  <c r="MU76" i="2"/>
  <c r="MT76" i="2"/>
  <c r="MS76" i="2"/>
  <c r="MR76" i="2"/>
  <c r="MQ76" i="2"/>
  <c r="MP76" i="2"/>
  <c r="MO76" i="2"/>
  <c r="MN76" i="2"/>
  <c r="MM76" i="2"/>
  <c r="ML76" i="2"/>
  <c r="MK76" i="2"/>
  <c r="MJ76" i="2"/>
  <c r="MI76" i="2"/>
  <c r="MH76" i="2"/>
  <c r="MG76" i="2"/>
  <c r="MF76" i="2"/>
  <c r="ME76" i="2"/>
  <c r="MD76" i="2"/>
  <c r="MC76" i="2"/>
  <c r="MB76" i="2"/>
  <c r="MA76" i="2"/>
  <c r="LZ76" i="2"/>
  <c r="LY76" i="2"/>
  <c r="LX76" i="2"/>
  <c r="LW76" i="2"/>
  <c r="LV76" i="2"/>
  <c r="LU76" i="2"/>
  <c r="LT76" i="2"/>
  <c r="LS76" i="2"/>
  <c r="LR76" i="2"/>
  <c r="LQ76" i="2"/>
  <c r="LP76" i="2"/>
  <c r="LO76" i="2"/>
  <c r="LN76" i="2"/>
  <c r="LM76" i="2"/>
  <c r="LL76" i="2"/>
  <c r="LK76" i="2"/>
  <c r="LJ76" i="2"/>
  <c r="LI76" i="2"/>
  <c r="LH76" i="2"/>
  <c r="LG76" i="2"/>
  <c r="LF76" i="2"/>
  <c r="LE76" i="2"/>
  <c r="OL75" i="2"/>
  <c r="OK75" i="2"/>
  <c r="OJ75" i="2"/>
  <c r="OI75" i="2"/>
  <c r="OH75" i="2"/>
  <c r="OG75" i="2"/>
  <c r="OF75" i="2"/>
  <c r="OE75" i="2"/>
  <c r="OD75" i="2"/>
  <c r="OC75" i="2"/>
  <c r="OB75" i="2"/>
  <c r="OA75" i="2"/>
  <c r="NZ75" i="2"/>
  <c r="NY75" i="2"/>
  <c r="NX75" i="2"/>
  <c r="NW75" i="2"/>
  <c r="NV75" i="2"/>
  <c r="NU75" i="2"/>
  <c r="NT75" i="2"/>
  <c r="NS75" i="2"/>
  <c r="NR75" i="2"/>
  <c r="NQ75" i="2"/>
  <c r="NP75" i="2"/>
  <c r="NO75" i="2"/>
  <c r="NN75" i="2"/>
  <c r="NM75" i="2"/>
  <c r="NL75" i="2"/>
  <c r="NK75" i="2"/>
  <c r="NJ75" i="2"/>
  <c r="NI75" i="2"/>
  <c r="NH75" i="2"/>
  <c r="NG75" i="2"/>
  <c r="NF75" i="2"/>
  <c r="NE75" i="2"/>
  <c r="ND75" i="2"/>
  <c r="NC75" i="2"/>
  <c r="NB75" i="2"/>
  <c r="NA75" i="2"/>
  <c r="MZ75" i="2"/>
  <c r="MY75" i="2"/>
  <c r="MX75" i="2"/>
  <c r="MW75" i="2"/>
  <c r="MV75" i="2"/>
  <c r="MU75" i="2"/>
  <c r="MT75" i="2"/>
  <c r="MS75" i="2"/>
  <c r="MR75" i="2"/>
  <c r="MQ75" i="2"/>
  <c r="MP75" i="2"/>
  <c r="MO75" i="2"/>
  <c r="MN75" i="2"/>
  <c r="MM75" i="2"/>
  <c r="ML75" i="2"/>
  <c r="MK75" i="2"/>
  <c r="MJ75" i="2"/>
  <c r="MI75" i="2"/>
  <c r="MH75" i="2"/>
  <c r="MG75" i="2"/>
  <c r="MF75" i="2"/>
  <c r="ME75" i="2"/>
  <c r="MD75" i="2"/>
  <c r="MC75" i="2"/>
  <c r="MB75" i="2"/>
  <c r="MA75" i="2"/>
  <c r="LZ75" i="2"/>
  <c r="LY75" i="2"/>
  <c r="LX75" i="2"/>
  <c r="LW75" i="2"/>
  <c r="LV75" i="2"/>
  <c r="LU75" i="2"/>
  <c r="LT75" i="2"/>
  <c r="LS75" i="2"/>
  <c r="LR75" i="2"/>
  <c r="LQ75" i="2"/>
  <c r="LP75" i="2"/>
  <c r="LO75" i="2"/>
  <c r="LN75" i="2"/>
  <c r="LM75" i="2"/>
  <c r="LL75" i="2"/>
  <c r="LK75" i="2"/>
  <c r="LJ75" i="2"/>
  <c r="LI75" i="2"/>
  <c r="LH75" i="2"/>
  <c r="LG75" i="2"/>
  <c r="LF75" i="2"/>
  <c r="LE75" i="2"/>
  <c r="LD75" i="2"/>
  <c r="LC75" i="2"/>
  <c r="LB75" i="2"/>
  <c r="LA75" i="2"/>
  <c r="KZ75" i="2"/>
  <c r="KY75" i="2"/>
  <c r="KX75" i="2"/>
  <c r="KW75" i="2"/>
  <c r="KV75" i="2"/>
  <c r="KU75" i="2"/>
  <c r="KT75" i="2"/>
  <c r="KS75" i="2"/>
  <c r="KR75" i="2"/>
  <c r="KQ75" i="2"/>
  <c r="KP75" i="2"/>
  <c r="KO75" i="2"/>
  <c r="KN75" i="2"/>
  <c r="KM75" i="2"/>
  <c r="KL75" i="2"/>
  <c r="KK75" i="2"/>
  <c r="KJ75" i="2"/>
  <c r="KI75" i="2"/>
  <c r="KH75" i="2"/>
  <c r="KG75" i="2"/>
  <c r="KF75" i="2"/>
  <c r="KE75" i="2"/>
  <c r="KD75" i="2"/>
  <c r="KC75" i="2"/>
  <c r="KB75" i="2"/>
  <c r="KA75" i="2"/>
  <c r="JZ75" i="2"/>
  <c r="JY75" i="2"/>
  <c r="JX75" i="2"/>
  <c r="JW75" i="2"/>
  <c r="JV75" i="2"/>
  <c r="JU75" i="2"/>
  <c r="JT75" i="2"/>
  <c r="JS75" i="2"/>
  <c r="JR75" i="2"/>
  <c r="JQ75" i="2"/>
  <c r="JP75" i="2"/>
  <c r="JO75" i="2"/>
  <c r="JN75" i="2"/>
  <c r="JM75" i="2"/>
  <c r="JL75" i="2"/>
  <c r="JK75" i="2"/>
  <c r="JJ75" i="2"/>
  <c r="JI75" i="2"/>
  <c r="JH75" i="2"/>
  <c r="JG75" i="2"/>
  <c r="JF75" i="2"/>
  <c r="JE75" i="2"/>
  <c r="JD75" i="2"/>
  <c r="JC75" i="2"/>
  <c r="JB75" i="2"/>
  <c r="JA75" i="2"/>
  <c r="IZ75" i="2"/>
  <c r="IY75" i="2"/>
  <c r="IX75" i="2"/>
  <c r="IW75" i="2"/>
  <c r="IV75" i="2"/>
  <c r="IU75" i="2"/>
  <c r="IT75" i="2"/>
  <c r="IS75" i="2"/>
  <c r="IR75" i="2"/>
  <c r="IQ75" i="2"/>
  <c r="IP75" i="2"/>
  <c r="IO75" i="2"/>
  <c r="IN75" i="2"/>
  <c r="IM75" i="2"/>
  <c r="IL75" i="2"/>
  <c r="IK75" i="2"/>
  <c r="IJ75" i="2"/>
  <c r="II75" i="2"/>
  <c r="IH75" i="2"/>
  <c r="IG75" i="2"/>
  <c r="IF75" i="2"/>
  <c r="IE75" i="2"/>
  <c r="ID75" i="2"/>
  <c r="IC75" i="2"/>
  <c r="IB75" i="2"/>
  <c r="IA75" i="2"/>
  <c r="HZ75" i="2"/>
  <c r="HY75" i="2"/>
  <c r="HX75" i="2"/>
  <c r="HW75" i="2"/>
  <c r="HV75" i="2"/>
  <c r="HU75" i="2"/>
  <c r="HT75" i="2"/>
  <c r="HS75" i="2"/>
  <c r="HR75" i="2"/>
  <c r="HQ75" i="2"/>
  <c r="HP75" i="2"/>
  <c r="HO75" i="2"/>
  <c r="HN75" i="2"/>
  <c r="HM75" i="2"/>
  <c r="HL75" i="2"/>
  <c r="HK75" i="2"/>
  <c r="HJ75" i="2"/>
  <c r="HI75" i="2"/>
  <c r="HE75" i="2"/>
  <c r="HD75" i="2"/>
  <c r="HC75" i="2"/>
  <c r="HB75" i="2"/>
  <c r="GY75" i="2"/>
  <c r="GX75" i="2"/>
  <c r="GW75" i="2"/>
  <c r="M75" i="2"/>
  <c r="L75" i="2"/>
  <c r="HF75" i="2" s="1"/>
  <c r="K75" i="2"/>
  <c r="J75" i="2"/>
  <c r="H75" i="2"/>
  <c r="G75" i="2"/>
  <c r="HA75" i="2" s="1"/>
  <c r="F75" i="2"/>
  <c r="GZ75" i="2" s="1"/>
  <c r="HF68" i="2"/>
  <c r="HE68" i="2"/>
  <c r="HD68" i="2"/>
  <c r="HB68" i="2"/>
  <c r="GZ68" i="2"/>
  <c r="GY68" i="2"/>
  <c r="GX68" i="2"/>
  <c r="GW68" i="2"/>
  <c r="GV68" i="2"/>
  <c r="AW68" i="2"/>
  <c r="Z68" i="2"/>
  <c r="M68" i="2"/>
  <c r="L68" i="2"/>
  <c r="J68" i="2"/>
  <c r="H68" i="2"/>
  <c r="F68" i="2"/>
  <c r="E68" i="2"/>
  <c r="D68" i="2"/>
  <c r="C68" i="2"/>
  <c r="B68" i="2"/>
  <c r="OL62" i="2"/>
  <c r="OK62" i="2"/>
  <c r="OJ62" i="2"/>
  <c r="OI62" i="2"/>
  <c r="OH62" i="2"/>
  <c r="OG62" i="2"/>
  <c r="OF62" i="2"/>
  <c r="OE62" i="2"/>
  <c r="OD62" i="2"/>
  <c r="OC62" i="2"/>
  <c r="OB62" i="2"/>
  <c r="OA62" i="2"/>
  <c r="NZ62" i="2"/>
  <c r="NY62" i="2"/>
  <c r="NX62" i="2"/>
  <c r="NW62" i="2"/>
  <c r="NV62" i="2"/>
  <c r="NU62" i="2"/>
  <c r="NT62" i="2"/>
  <c r="NS62" i="2"/>
  <c r="NR62" i="2"/>
  <c r="NQ62" i="2"/>
  <c r="NP62" i="2"/>
  <c r="NO62" i="2"/>
  <c r="NN62" i="2"/>
  <c r="NM62" i="2"/>
  <c r="NL62" i="2"/>
  <c r="NK62" i="2"/>
  <c r="NJ62" i="2"/>
  <c r="NI62" i="2"/>
  <c r="NH62" i="2"/>
  <c r="NG62" i="2"/>
  <c r="NF62" i="2"/>
  <c r="NE62" i="2"/>
  <c r="ND62" i="2"/>
  <c r="NC62" i="2"/>
  <c r="NB62" i="2"/>
  <c r="NA62" i="2"/>
  <c r="MZ62" i="2"/>
  <c r="MY62" i="2"/>
  <c r="MX62" i="2"/>
  <c r="MW62" i="2"/>
  <c r="MV62" i="2"/>
  <c r="MU62" i="2"/>
  <c r="MT62" i="2"/>
  <c r="MS62" i="2"/>
  <c r="MR62" i="2"/>
  <c r="MQ62" i="2"/>
  <c r="MP62" i="2"/>
  <c r="MO62" i="2"/>
  <c r="MN62" i="2"/>
  <c r="MM62" i="2"/>
  <c r="ML62" i="2"/>
  <c r="MK62" i="2"/>
  <c r="MJ62" i="2"/>
  <c r="MI62" i="2"/>
  <c r="MH62" i="2"/>
  <c r="MG62" i="2"/>
  <c r="MF62" i="2"/>
  <c r="ME62" i="2"/>
  <c r="MD62" i="2"/>
  <c r="MC62" i="2"/>
  <c r="MB62" i="2"/>
  <c r="MA62" i="2"/>
  <c r="LZ62" i="2"/>
  <c r="LY62" i="2"/>
  <c r="LX62" i="2"/>
  <c r="LW62" i="2"/>
  <c r="LV62" i="2"/>
  <c r="LU62" i="2"/>
  <c r="LT62" i="2"/>
  <c r="LS62" i="2"/>
  <c r="LR62" i="2"/>
  <c r="LQ62" i="2"/>
  <c r="LP62" i="2"/>
  <c r="LO62" i="2"/>
  <c r="LN62" i="2"/>
  <c r="LM62" i="2"/>
  <c r="LL62" i="2"/>
  <c r="LK62" i="2"/>
  <c r="LJ62" i="2"/>
  <c r="LI62" i="2"/>
  <c r="LH62" i="2"/>
  <c r="LG62" i="2"/>
  <c r="LF62" i="2"/>
  <c r="LE62" i="2"/>
  <c r="LD62" i="2"/>
  <c r="LC62" i="2"/>
  <c r="LB62" i="2"/>
  <c r="LA62" i="2"/>
  <c r="KZ62" i="2"/>
  <c r="KY62" i="2"/>
  <c r="KX62" i="2"/>
  <c r="KW62" i="2"/>
  <c r="KV62" i="2"/>
  <c r="KU62" i="2"/>
  <c r="KT62" i="2"/>
  <c r="KS62" i="2"/>
  <c r="KR62" i="2"/>
  <c r="KQ62" i="2"/>
  <c r="KP62" i="2"/>
  <c r="KO62" i="2"/>
  <c r="KN62" i="2"/>
  <c r="KM62" i="2"/>
  <c r="KL62" i="2"/>
  <c r="KK62" i="2"/>
  <c r="KJ62" i="2"/>
  <c r="KI62" i="2"/>
  <c r="KH62" i="2"/>
  <c r="KG62" i="2"/>
  <c r="KF62" i="2"/>
  <c r="KE62" i="2"/>
  <c r="KD62" i="2"/>
  <c r="KC62" i="2"/>
  <c r="KB62" i="2"/>
  <c r="KA62" i="2"/>
  <c r="JZ62" i="2"/>
  <c r="JY62" i="2"/>
  <c r="JX62" i="2"/>
  <c r="JW62" i="2"/>
  <c r="JV62" i="2"/>
  <c r="JU62" i="2"/>
  <c r="JT62" i="2"/>
  <c r="JS62" i="2"/>
  <c r="JR62" i="2"/>
  <c r="JQ62" i="2"/>
  <c r="JP62" i="2"/>
  <c r="JO62" i="2"/>
  <c r="JN62" i="2"/>
  <c r="JM62" i="2"/>
  <c r="JL62" i="2"/>
  <c r="JK62" i="2"/>
  <c r="JJ62" i="2"/>
  <c r="JI62" i="2"/>
  <c r="JH62" i="2"/>
  <c r="JG62" i="2"/>
  <c r="JF62" i="2"/>
  <c r="JE62" i="2"/>
  <c r="JD62" i="2"/>
  <c r="JC62" i="2"/>
  <c r="JB62" i="2"/>
  <c r="JA62" i="2"/>
  <c r="IZ62" i="2"/>
  <c r="IY62" i="2"/>
  <c r="IX62" i="2"/>
  <c r="IW62" i="2"/>
  <c r="IV62" i="2"/>
  <c r="IU62" i="2"/>
  <c r="IT62" i="2"/>
  <c r="IS62" i="2"/>
  <c r="IR62" i="2"/>
  <c r="IQ62" i="2"/>
  <c r="IP62" i="2"/>
  <c r="IO62" i="2"/>
  <c r="IN62" i="2"/>
  <c r="IM62" i="2"/>
  <c r="IL62" i="2"/>
  <c r="IK62" i="2"/>
  <c r="IJ62" i="2"/>
  <c r="II62" i="2"/>
  <c r="IH62" i="2"/>
  <c r="IG62" i="2"/>
  <c r="IF62" i="2"/>
  <c r="IE62" i="2"/>
  <c r="ID62" i="2"/>
  <c r="IC62" i="2"/>
  <c r="IB62" i="2"/>
  <c r="IA62" i="2"/>
  <c r="HZ62" i="2"/>
  <c r="HY62" i="2"/>
  <c r="HX62" i="2"/>
  <c r="HW62" i="2"/>
  <c r="HV62" i="2"/>
  <c r="HU62" i="2"/>
  <c r="HT62" i="2"/>
  <c r="HS62" i="2"/>
  <c r="HR62" i="2"/>
  <c r="HQ62" i="2"/>
  <c r="HP62" i="2"/>
  <c r="HO62" i="2"/>
  <c r="HN62" i="2"/>
  <c r="HM62" i="2"/>
  <c r="HL62" i="2"/>
  <c r="HK62" i="2"/>
  <c r="HJ62" i="2"/>
  <c r="HI62" i="2"/>
  <c r="HG62" i="2"/>
  <c r="HF62" i="2"/>
  <c r="HE62" i="2"/>
  <c r="HD62" i="2"/>
  <c r="GY62" i="2"/>
  <c r="GX62" i="2"/>
  <c r="GW62" i="2"/>
  <c r="M62" i="2"/>
  <c r="HH62" i="2" s="1"/>
  <c r="L62" i="2"/>
  <c r="K62" i="2"/>
  <c r="J62" i="2"/>
  <c r="H62" i="2"/>
  <c r="HC62" i="2" s="1"/>
  <c r="G62" i="2"/>
  <c r="HA62" i="2" s="1"/>
  <c r="F62" i="2"/>
  <c r="GZ62" i="2" s="1"/>
  <c r="OL61" i="2"/>
  <c r="OK61" i="2"/>
  <c r="OJ61" i="2"/>
  <c r="OI61" i="2"/>
  <c r="OH61" i="2"/>
  <c r="OG61" i="2"/>
  <c r="OF61" i="2"/>
  <c r="OE61" i="2"/>
  <c r="OD61" i="2"/>
  <c r="OC61" i="2"/>
  <c r="OB61" i="2"/>
  <c r="OA61" i="2"/>
  <c r="NZ61" i="2"/>
  <c r="NY61" i="2"/>
  <c r="NX61" i="2"/>
  <c r="NW61" i="2"/>
  <c r="NV61" i="2"/>
  <c r="NU61" i="2"/>
  <c r="NT61" i="2"/>
  <c r="NS61" i="2"/>
  <c r="NR61" i="2"/>
  <c r="NQ61" i="2"/>
  <c r="NP61" i="2"/>
  <c r="NO61" i="2"/>
  <c r="NN61" i="2"/>
  <c r="NM61" i="2"/>
  <c r="NL61" i="2"/>
  <c r="NK61" i="2"/>
  <c r="NJ61" i="2"/>
  <c r="NI61" i="2"/>
  <c r="NH61" i="2"/>
  <c r="NG61" i="2"/>
  <c r="NF61" i="2"/>
  <c r="NE61" i="2"/>
  <c r="ND61" i="2"/>
  <c r="NC61" i="2"/>
  <c r="NB61" i="2"/>
  <c r="NA61" i="2"/>
  <c r="MZ61" i="2"/>
  <c r="MY61" i="2"/>
  <c r="MX61" i="2"/>
  <c r="MW61" i="2"/>
  <c r="MV61" i="2"/>
  <c r="MU61" i="2"/>
  <c r="MT61" i="2"/>
  <c r="MS61" i="2"/>
  <c r="MR61" i="2"/>
  <c r="MQ61" i="2"/>
  <c r="MP61" i="2"/>
  <c r="MO61" i="2"/>
  <c r="MN61" i="2"/>
  <c r="MM61" i="2"/>
  <c r="ML61" i="2"/>
  <c r="MK61" i="2"/>
  <c r="MJ61" i="2"/>
  <c r="MI61" i="2"/>
  <c r="MH61" i="2"/>
  <c r="MG61" i="2"/>
  <c r="MF61" i="2"/>
  <c r="ME61" i="2"/>
  <c r="MD61" i="2"/>
  <c r="MC61" i="2"/>
  <c r="MB61" i="2"/>
  <c r="MA61" i="2"/>
  <c r="LZ61" i="2"/>
  <c r="LY61" i="2"/>
  <c r="LX61" i="2"/>
  <c r="LW61" i="2"/>
  <c r="LV61" i="2"/>
  <c r="LU61" i="2"/>
  <c r="LT61" i="2"/>
  <c r="LS61" i="2"/>
  <c r="LR61" i="2"/>
  <c r="LQ61" i="2"/>
  <c r="LP61" i="2"/>
  <c r="LO61" i="2"/>
  <c r="LN61" i="2"/>
  <c r="LM61" i="2"/>
  <c r="LL61" i="2"/>
  <c r="LK61" i="2"/>
  <c r="LJ61" i="2"/>
  <c r="LI61" i="2"/>
  <c r="LH61" i="2"/>
  <c r="LG61" i="2"/>
  <c r="LF61" i="2"/>
  <c r="LE61" i="2"/>
  <c r="LD61" i="2"/>
  <c r="LC61" i="2"/>
  <c r="LB61" i="2"/>
  <c r="LA61" i="2"/>
  <c r="KZ61" i="2"/>
  <c r="KY61" i="2"/>
  <c r="KX61" i="2"/>
  <c r="KW61" i="2"/>
  <c r="KV61" i="2"/>
  <c r="KU61" i="2"/>
  <c r="KT61" i="2"/>
  <c r="KS61" i="2"/>
  <c r="KR61" i="2"/>
  <c r="KQ61" i="2"/>
  <c r="KP61" i="2"/>
  <c r="KO61" i="2"/>
  <c r="KN61" i="2"/>
  <c r="KM61" i="2"/>
  <c r="KL61" i="2"/>
  <c r="KK61" i="2"/>
  <c r="KJ61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S61" i="2"/>
  <c r="JR61" i="2"/>
  <c r="JQ61" i="2"/>
  <c r="JP61" i="2"/>
  <c r="JO61" i="2"/>
  <c r="JN61" i="2"/>
  <c r="JM61" i="2"/>
  <c r="JL61" i="2"/>
  <c r="JK61" i="2"/>
  <c r="JJ61" i="2"/>
  <c r="JI61" i="2"/>
  <c r="JH61" i="2"/>
  <c r="JG61" i="2"/>
  <c r="JF61" i="2"/>
  <c r="JE61" i="2"/>
  <c r="JD61" i="2"/>
  <c r="JC61" i="2"/>
  <c r="JB61" i="2"/>
  <c r="JA61" i="2"/>
  <c r="IZ61" i="2"/>
  <c r="IY61" i="2"/>
  <c r="IX61" i="2"/>
  <c r="IW61" i="2"/>
  <c r="IV61" i="2"/>
  <c r="IU61" i="2"/>
  <c r="IT61" i="2"/>
  <c r="IS61" i="2"/>
  <c r="IR61" i="2"/>
  <c r="IQ61" i="2"/>
  <c r="IP61" i="2"/>
  <c r="IO61" i="2"/>
  <c r="IN61" i="2"/>
  <c r="IM61" i="2"/>
  <c r="IL61" i="2"/>
  <c r="IK61" i="2"/>
  <c r="IJ61" i="2"/>
  <c r="II61" i="2"/>
  <c r="IH61" i="2"/>
  <c r="IG61" i="2"/>
  <c r="IF61" i="2"/>
  <c r="IE61" i="2"/>
  <c r="ID61" i="2"/>
  <c r="IC61" i="2"/>
  <c r="IB61" i="2"/>
  <c r="IA61" i="2"/>
  <c r="HZ61" i="2"/>
  <c r="HY61" i="2"/>
  <c r="HX61" i="2"/>
  <c r="HW61" i="2"/>
  <c r="HV61" i="2"/>
  <c r="HU61" i="2"/>
  <c r="HT61" i="2"/>
  <c r="HS61" i="2"/>
  <c r="HR61" i="2"/>
  <c r="HQ61" i="2"/>
  <c r="HP61" i="2"/>
  <c r="HO61" i="2"/>
  <c r="HN61" i="2"/>
  <c r="HM61" i="2"/>
  <c r="HL61" i="2"/>
  <c r="HK61" i="2"/>
  <c r="HJ61" i="2"/>
  <c r="HI61" i="2"/>
  <c r="HE61" i="2"/>
  <c r="HD61" i="2"/>
  <c r="HC61" i="2"/>
  <c r="HB61" i="2"/>
  <c r="GY61" i="2"/>
  <c r="GX61" i="2"/>
  <c r="GW61" i="2"/>
  <c r="M61" i="2"/>
  <c r="HH61" i="2" s="1"/>
  <c r="L61" i="2"/>
  <c r="HF61" i="2" s="1"/>
  <c r="K61" i="2"/>
  <c r="J61" i="2"/>
  <c r="H61" i="2"/>
  <c r="G61" i="2"/>
  <c r="HA61" i="2" s="1"/>
  <c r="F61" i="2"/>
  <c r="GZ61" i="2" s="1"/>
  <c r="OL60" i="2"/>
  <c r="OK60" i="2"/>
  <c r="OJ60" i="2"/>
  <c r="OI60" i="2"/>
  <c r="OH60" i="2"/>
  <c r="OG60" i="2"/>
  <c r="OF60" i="2"/>
  <c r="OE60" i="2"/>
  <c r="OD60" i="2"/>
  <c r="OC60" i="2"/>
  <c r="OB60" i="2"/>
  <c r="OA60" i="2"/>
  <c r="NZ60" i="2"/>
  <c r="NY60" i="2"/>
  <c r="NX60" i="2"/>
  <c r="NW60" i="2"/>
  <c r="NV60" i="2"/>
  <c r="NU60" i="2"/>
  <c r="NT60" i="2"/>
  <c r="NS60" i="2"/>
  <c r="NR60" i="2"/>
  <c r="NQ60" i="2"/>
  <c r="NP60" i="2"/>
  <c r="NO60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B60" i="2"/>
  <c r="NA60" i="2"/>
  <c r="MZ60" i="2"/>
  <c r="MY60" i="2"/>
  <c r="MX60" i="2"/>
  <c r="MW60" i="2"/>
  <c r="MV60" i="2"/>
  <c r="MU60" i="2"/>
  <c r="MT60" i="2"/>
  <c r="MS60" i="2"/>
  <c r="MR60" i="2"/>
  <c r="MQ60" i="2"/>
  <c r="MP60" i="2"/>
  <c r="MO60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B60" i="2"/>
  <c r="MA60" i="2"/>
  <c r="LZ60" i="2"/>
  <c r="LY60" i="2"/>
  <c r="LX60" i="2"/>
  <c r="LW60" i="2"/>
  <c r="LV60" i="2"/>
  <c r="LU60" i="2"/>
  <c r="LT60" i="2"/>
  <c r="LS60" i="2"/>
  <c r="LR60" i="2"/>
  <c r="LQ60" i="2"/>
  <c r="LP60" i="2"/>
  <c r="LO60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B60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KO60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B60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JO60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B60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IO60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B60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HO60" i="2"/>
  <c r="HN60" i="2"/>
  <c r="HM60" i="2"/>
  <c r="HL60" i="2"/>
  <c r="HK60" i="2"/>
  <c r="HJ60" i="2"/>
  <c r="HI60" i="2"/>
  <c r="HH60" i="2"/>
  <c r="HC60" i="2"/>
  <c r="HB60" i="2"/>
  <c r="HA60" i="2"/>
  <c r="GZ60" i="2"/>
  <c r="GY60" i="2"/>
  <c r="GX60" i="2"/>
  <c r="GW60" i="2"/>
  <c r="M60" i="2"/>
  <c r="HG60" i="2" s="1"/>
  <c r="L60" i="2"/>
  <c r="HF60" i="2" s="1"/>
  <c r="K60" i="2"/>
  <c r="HE60" i="2" s="1"/>
  <c r="J60" i="2"/>
  <c r="HD60" i="2" s="1"/>
  <c r="H60" i="2"/>
  <c r="G60" i="2"/>
  <c r="F60" i="2"/>
  <c r="OL59" i="2"/>
  <c r="OK59" i="2"/>
  <c r="OJ59" i="2"/>
  <c r="OI59" i="2"/>
  <c r="OH59" i="2"/>
  <c r="OG59" i="2"/>
  <c r="OF59" i="2"/>
  <c r="OE59" i="2"/>
  <c r="OD59" i="2"/>
  <c r="OC59" i="2"/>
  <c r="OB59" i="2"/>
  <c r="OA59" i="2"/>
  <c r="NZ59" i="2"/>
  <c r="NY59" i="2"/>
  <c r="NX59" i="2"/>
  <c r="NW59" i="2"/>
  <c r="NV59" i="2"/>
  <c r="NU59" i="2"/>
  <c r="NT59" i="2"/>
  <c r="NS59" i="2"/>
  <c r="NR59" i="2"/>
  <c r="NQ59" i="2"/>
  <c r="NP59" i="2"/>
  <c r="NO59" i="2"/>
  <c r="NN59" i="2"/>
  <c r="NM59" i="2"/>
  <c r="NL59" i="2"/>
  <c r="NK59" i="2"/>
  <c r="NJ59" i="2"/>
  <c r="NI59" i="2"/>
  <c r="NH59" i="2"/>
  <c r="NG59" i="2"/>
  <c r="NF59" i="2"/>
  <c r="NE59" i="2"/>
  <c r="ND59" i="2"/>
  <c r="NC59" i="2"/>
  <c r="NB59" i="2"/>
  <c r="NA59" i="2"/>
  <c r="MZ59" i="2"/>
  <c r="MY59" i="2"/>
  <c r="MX59" i="2"/>
  <c r="MW59" i="2"/>
  <c r="MV59" i="2"/>
  <c r="MU59" i="2"/>
  <c r="MT59" i="2"/>
  <c r="MS59" i="2"/>
  <c r="MR59" i="2"/>
  <c r="MQ59" i="2"/>
  <c r="MP59" i="2"/>
  <c r="MO59" i="2"/>
  <c r="MN59" i="2"/>
  <c r="MM59" i="2"/>
  <c r="ML59" i="2"/>
  <c r="MK59" i="2"/>
  <c r="MJ59" i="2"/>
  <c r="MI59" i="2"/>
  <c r="MH59" i="2"/>
  <c r="MG59" i="2"/>
  <c r="MF59" i="2"/>
  <c r="ME59" i="2"/>
  <c r="MD59" i="2"/>
  <c r="MC59" i="2"/>
  <c r="MB59" i="2"/>
  <c r="MA59" i="2"/>
  <c r="LZ59" i="2"/>
  <c r="LY59" i="2"/>
  <c r="LX59" i="2"/>
  <c r="LW59" i="2"/>
  <c r="LV59" i="2"/>
  <c r="LU59" i="2"/>
  <c r="LT59" i="2"/>
  <c r="LS59" i="2"/>
  <c r="LR59" i="2"/>
  <c r="LQ59" i="2"/>
  <c r="LP59" i="2"/>
  <c r="LO59" i="2"/>
  <c r="LN59" i="2"/>
  <c r="LM59" i="2"/>
  <c r="LL59" i="2"/>
  <c r="LK59" i="2"/>
  <c r="LJ59" i="2"/>
  <c r="LI59" i="2"/>
  <c r="LH59" i="2"/>
  <c r="LG59" i="2"/>
  <c r="LF59" i="2"/>
  <c r="LE59" i="2"/>
  <c r="OL58" i="2"/>
  <c r="OK58" i="2"/>
  <c r="OJ58" i="2"/>
  <c r="OI58" i="2"/>
  <c r="OH58" i="2"/>
  <c r="OG58" i="2"/>
  <c r="OF58" i="2"/>
  <c r="OE58" i="2"/>
  <c r="OD58" i="2"/>
  <c r="OC58" i="2"/>
  <c r="OB58" i="2"/>
  <c r="OA58" i="2"/>
  <c r="NZ58" i="2"/>
  <c r="NY58" i="2"/>
  <c r="NX58" i="2"/>
  <c r="NW58" i="2"/>
  <c r="NV58" i="2"/>
  <c r="NU58" i="2"/>
  <c r="NT58" i="2"/>
  <c r="NS58" i="2"/>
  <c r="NR58" i="2"/>
  <c r="NQ58" i="2"/>
  <c r="NP58" i="2"/>
  <c r="NO58" i="2"/>
  <c r="NN58" i="2"/>
  <c r="NM58" i="2"/>
  <c r="NL58" i="2"/>
  <c r="NK58" i="2"/>
  <c r="NJ58" i="2"/>
  <c r="NI58" i="2"/>
  <c r="NH58" i="2"/>
  <c r="NG58" i="2"/>
  <c r="NF58" i="2"/>
  <c r="NE58" i="2"/>
  <c r="ND58" i="2"/>
  <c r="NC58" i="2"/>
  <c r="NB58" i="2"/>
  <c r="NA58" i="2"/>
  <c r="MZ58" i="2"/>
  <c r="MY58" i="2"/>
  <c r="MX58" i="2"/>
  <c r="MW58" i="2"/>
  <c r="MV58" i="2"/>
  <c r="MU58" i="2"/>
  <c r="MT58" i="2"/>
  <c r="MS58" i="2"/>
  <c r="MR58" i="2"/>
  <c r="MQ58" i="2"/>
  <c r="MP58" i="2"/>
  <c r="MO58" i="2"/>
  <c r="MN58" i="2"/>
  <c r="MM58" i="2"/>
  <c r="ML58" i="2"/>
  <c r="MK58" i="2"/>
  <c r="MJ58" i="2"/>
  <c r="MI58" i="2"/>
  <c r="MH58" i="2"/>
  <c r="MG58" i="2"/>
  <c r="MF58" i="2"/>
  <c r="ME58" i="2"/>
  <c r="MD58" i="2"/>
  <c r="MC58" i="2"/>
  <c r="MB58" i="2"/>
  <c r="MA58" i="2"/>
  <c r="LZ58" i="2"/>
  <c r="LY58" i="2"/>
  <c r="LX58" i="2"/>
  <c r="LW58" i="2"/>
  <c r="LV58" i="2"/>
  <c r="LU58" i="2"/>
  <c r="LT58" i="2"/>
  <c r="LS58" i="2"/>
  <c r="LR58" i="2"/>
  <c r="LQ58" i="2"/>
  <c r="LP58" i="2"/>
  <c r="LO58" i="2"/>
  <c r="LN58" i="2"/>
  <c r="LM58" i="2"/>
  <c r="LL58" i="2"/>
  <c r="LK58" i="2"/>
  <c r="LJ58" i="2"/>
  <c r="LI58" i="2"/>
  <c r="LH58" i="2"/>
  <c r="LG58" i="2"/>
  <c r="LF58" i="2"/>
  <c r="LE58" i="2"/>
  <c r="LD58" i="2"/>
  <c r="LC58" i="2"/>
  <c r="LB58" i="2"/>
  <c r="LA58" i="2"/>
  <c r="KZ58" i="2"/>
  <c r="KY58" i="2"/>
  <c r="KX58" i="2"/>
  <c r="KW58" i="2"/>
  <c r="KV58" i="2"/>
  <c r="KU58" i="2"/>
  <c r="KT58" i="2"/>
  <c r="KS58" i="2"/>
  <c r="KR58" i="2"/>
  <c r="KQ58" i="2"/>
  <c r="KP58" i="2"/>
  <c r="KO58" i="2"/>
  <c r="KN58" i="2"/>
  <c r="KM58" i="2"/>
  <c r="KL58" i="2"/>
  <c r="KK58" i="2"/>
  <c r="KJ58" i="2"/>
  <c r="KI58" i="2"/>
  <c r="KH58" i="2"/>
  <c r="KG58" i="2"/>
  <c r="KF58" i="2"/>
  <c r="KE58" i="2"/>
  <c r="KD58" i="2"/>
  <c r="KC58" i="2"/>
  <c r="KB58" i="2"/>
  <c r="KA58" i="2"/>
  <c r="JZ58" i="2"/>
  <c r="JY58" i="2"/>
  <c r="JX58" i="2"/>
  <c r="JW58" i="2"/>
  <c r="JV58" i="2"/>
  <c r="JU58" i="2"/>
  <c r="JT58" i="2"/>
  <c r="JS58" i="2"/>
  <c r="JR58" i="2"/>
  <c r="JQ58" i="2"/>
  <c r="JP58" i="2"/>
  <c r="JO58" i="2"/>
  <c r="JN58" i="2"/>
  <c r="JM58" i="2"/>
  <c r="JL58" i="2"/>
  <c r="JK58" i="2"/>
  <c r="JJ58" i="2"/>
  <c r="JI58" i="2"/>
  <c r="JH58" i="2"/>
  <c r="JG58" i="2"/>
  <c r="JF58" i="2"/>
  <c r="JE58" i="2"/>
  <c r="JD58" i="2"/>
  <c r="JC58" i="2"/>
  <c r="JB58" i="2"/>
  <c r="JA58" i="2"/>
  <c r="IZ58" i="2"/>
  <c r="IY58" i="2"/>
  <c r="IX58" i="2"/>
  <c r="IW58" i="2"/>
  <c r="IV58" i="2"/>
  <c r="IU58" i="2"/>
  <c r="IT58" i="2"/>
  <c r="IS58" i="2"/>
  <c r="IR58" i="2"/>
  <c r="IQ58" i="2"/>
  <c r="IP58" i="2"/>
  <c r="IO58" i="2"/>
  <c r="IN58" i="2"/>
  <c r="IM58" i="2"/>
  <c r="IL58" i="2"/>
  <c r="IK58" i="2"/>
  <c r="IJ58" i="2"/>
  <c r="II58" i="2"/>
  <c r="IH58" i="2"/>
  <c r="IG58" i="2"/>
  <c r="IF58" i="2"/>
  <c r="IE58" i="2"/>
  <c r="ID58" i="2"/>
  <c r="IC58" i="2"/>
  <c r="IB58" i="2"/>
  <c r="IA58" i="2"/>
  <c r="HZ58" i="2"/>
  <c r="HY58" i="2"/>
  <c r="HX58" i="2"/>
  <c r="HW58" i="2"/>
  <c r="HV58" i="2"/>
  <c r="HU58" i="2"/>
  <c r="HT58" i="2"/>
  <c r="HS58" i="2"/>
  <c r="HR58" i="2"/>
  <c r="HQ58" i="2"/>
  <c r="HP58" i="2"/>
  <c r="HO58" i="2"/>
  <c r="HN58" i="2"/>
  <c r="HM58" i="2"/>
  <c r="HL58" i="2"/>
  <c r="HK58" i="2"/>
  <c r="HJ58" i="2"/>
  <c r="HI58" i="2"/>
  <c r="HH58" i="2"/>
  <c r="HG58" i="2"/>
  <c r="HF58" i="2"/>
  <c r="HE58" i="2"/>
  <c r="GY58" i="2"/>
  <c r="GX58" i="2"/>
  <c r="GW58" i="2"/>
  <c r="M58" i="2"/>
  <c r="L58" i="2"/>
  <c r="K58" i="2"/>
  <c r="J58" i="2"/>
  <c r="HD58" i="2" s="1"/>
  <c r="H58" i="2"/>
  <c r="HC58" i="2" s="1"/>
  <c r="G58" i="2"/>
  <c r="HA58" i="2" s="1"/>
  <c r="F58" i="2"/>
  <c r="GZ58" i="2" s="1"/>
  <c r="E58" i="2"/>
  <c r="HF51" i="2"/>
  <c r="HE51" i="2"/>
  <c r="HD51" i="2"/>
  <c r="HB51" i="2"/>
  <c r="HA51" i="2"/>
  <c r="GZ51" i="2"/>
  <c r="GY51" i="2"/>
  <c r="GX51" i="2"/>
  <c r="GW51" i="2"/>
  <c r="GV51" i="2"/>
  <c r="AW51" i="2"/>
  <c r="Z51" i="2"/>
  <c r="M51" i="2"/>
  <c r="L51" i="2"/>
  <c r="J51" i="2"/>
  <c r="H51" i="2"/>
  <c r="G51" i="2"/>
  <c r="F51" i="2"/>
  <c r="E51" i="2"/>
  <c r="D51" i="2"/>
  <c r="C51" i="2"/>
  <c r="B51" i="2"/>
  <c r="OL45" i="2"/>
  <c r="OK45" i="2"/>
  <c r="OJ45" i="2"/>
  <c r="OI45" i="2"/>
  <c r="OH45" i="2"/>
  <c r="OG45" i="2"/>
  <c r="OF45" i="2"/>
  <c r="OE45" i="2"/>
  <c r="OD45" i="2"/>
  <c r="OC45" i="2"/>
  <c r="OB45" i="2"/>
  <c r="OA45" i="2"/>
  <c r="NZ45" i="2"/>
  <c r="NY45" i="2"/>
  <c r="NX45" i="2"/>
  <c r="NW45" i="2"/>
  <c r="NV45" i="2"/>
  <c r="NU45" i="2"/>
  <c r="NT45" i="2"/>
  <c r="NS45" i="2"/>
  <c r="NR45" i="2"/>
  <c r="NQ45" i="2"/>
  <c r="NP45" i="2"/>
  <c r="NO45" i="2"/>
  <c r="NN45" i="2"/>
  <c r="NM45" i="2"/>
  <c r="NL45" i="2"/>
  <c r="NK45" i="2"/>
  <c r="NJ45" i="2"/>
  <c r="NI45" i="2"/>
  <c r="NH45" i="2"/>
  <c r="NG45" i="2"/>
  <c r="NF45" i="2"/>
  <c r="NE45" i="2"/>
  <c r="ND45" i="2"/>
  <c r="NC45" i="2"/>
  <c r="NB45" i="2"/>
  <c r="NA45" i="2"/>
  <c r="MZ45" i="2"/>
  <c r="MY45" i="2"/>
  <c r="MX45" i="2"/>
  <c r="MW45" i="2"/>
  <c r="MV45" i="2"/>
  <c r="MU45" i="2"/>
  <c r="MT45" i="2"/>
  <c r="MS45" i="2"/>
  <c r="MR45" i="2"/>
  <c r="MQ45" i="2"/>
  <c r="MP45" i="2"/>
  <c r="MO45" i="2"/>
  <c r="MN45" i="2"/>
  <c r="MM45" i="2"/>
  <c r="ML45" i="2"/>
  <c r="MK45" i="2"/>
  <c r="MJ45" i="2"/>
  <c r="MI45" i="2"/>
  <c r="MH45" i="2"/>
  <c r="MG45" i="2"/>
  <c r="MF45" i="2"/>
  <c r="ME45" i="2"/>
  <c r="MD45" i="2"/>
  <c r="MC45" i="2"/>
  <c r="MB45" i="2"/>
  <c r="MA45" i="2"/>
  <c r="LZ45" i="2"/>
  <c r="LY45" i="2"/>
  <c r="LX45" i="2"/>
  <c r="LW45" i="2"/>
  <c r="LV45" i="2"/>
  <c r="LU45" i="2"/>
  <c r="LT45" i="2"/>
  <c r="LS45" i="2"/>
  <c r="LR45" i="2"/>
  <c r="LQ45" i="2"/>
  <c r="LP45" i="2"/>
  <c r="LO45" i="2"/>
  <c r="LN45" i="2"/>
  <c r="LM45" i="2"/>
  <c r="LL45" i="2"/>
  <c r="LK45" i="2"/>
  <c r="LJ45" i="2"/>
  <c r="LI45" i="2"/>
  <c r="LH45" i="2"/>
  <c r="LG45" i="2"/>
  <c r="LF45" i="2"/>
  <c r="LE45" i="2"/>
  <c r="LD45" i="2"/>
  <c r="LC45" i="2"/>
  <c r="LB45" i="2"/>
  <c r="LA45" i="2"/>
  <c r="KZ45" i="2"/>
  <c r="KY45" i="2"/>
  <c r="KX45" i="2"/>
  <c r="KW45" i="2"/>
  <c r="KV45" i="2"/>
  <c r="KU45" i="2"/>
  <c r="KT45" i="2"/>
  <c r="KS45" i="2"/>
  <c r="KR45" i="2"/>
  <c r="KQ45" i="2"/>
  <c r="KP45" i="2"/>
  <c r="KO45" i="2"/>
  <c r="KN45" i="2"/>
  <c r="KM45" i="2"/>
  <c r="KL45" i="2"/>
  <c r="KK45" i="2"/>
  <c r="KJ45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S45" i="2"/>
  <c r="JR45" i="2"/>
  <c r="JQ45" i="2"/>
  <c r="JP45" i="2"/>
  <c r="JO45" i="2"/>
  <c r="JN45" i="2"/>
  <c r="JM45" i="2"/>
  <c r="JL45" i="2"/>
  <c r="JK45" i="2"/>
  <c r="JJ45" i="2"/>
  <c r="JI45" i="2"/>
  <c r="JH45" i="2"/>
  <c r="JG45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D45" i="2"/>
  <c r="HC45" i="2"/>
  <c r="HB45" i="2"/>
  <c r="GZ45" i="2"/>
  <c r="GY45" i="2"/>
  <c r="GX45" i="2"/>
  <c r="GW45" i="2"/>
  <c r="L45" i="2"/>
  <c r="HG45" i="2" s="1"/>
  <c r="K45" i="2"/>
  <c r="HE45" i="2" s="1"/>
  <c r="J45" i="2"/>
  <c r="H45" i="2"/>
  <c r="G45" i="2"/>
  <c r="F45" i="2"/>
  <c r="HA45" i="2" s="1"/>
  <c r="OL44" i="2"/>
  <c r="OK44" i="2"/>
  <c r="OJ44" i="2"/>
  <c r="OI44" i="2"/>
  <c r="OH44" i="2"/>
  <c r="OG44" i="2"/>
  <c r="OF44" i="2"/>
  <c r="OE44" i="2"/>
  <c r="OD44" i="2"/>
  <c r="OC44" i="2"/>
  <c r="OB44" i="2"/>
  <c r="OA44" i="2"/>
  <c r="NZ44" i="2"/>
  <c r="NY44" i="2"/>
  <c r="NX44" i="2"/>
  <c r="NW44" i="2"/>
  <c r="NV44" i="2"/>
  <c r="NU44" i="2"/>
  <c r="NT44" i="2"/>
  <c r="NS44" i="2"/>
  <c r="NR44" i="2"/>
  <c r="NQ44" i="2"/>
  <c r="NP44" i="2"/>
  <c r="NO44" i="2"/>
  <c r="NN44" i="2"/>
  <c r="NM44" i="2"/>
  <c r="NL44" i="2"/>
  <c r="NK44" i="2"/>
  <c r="NJ44" i="2"/>
  <c r="NI44" i="2"/>
  <c r="NH44" i="2"/>
  <c r="NG44" i="2"/>
  <c r="NF44" i="2"/>
  <c r="NE44" i="2"/>
  <c r="ND44" i="2"/>
  <c r="NC44" i="2"/>
  <c r="NB44" i="2"/>
  <c r="NA44" i="2"/>
  <c r="MZ44" i="2"/>
  <c r="MY44" i="2"/>
  <c r="MX44" i="2"/>
  <c r="MW44" i="2"/>
  <c r="MV44" i="2"/>
  <c r="MU44" i="2"/>
  <c r="MT44" i="2"/>
  <c r="MS44" i="2"/>
  <c r="MR44" i="2"/>
  <c r="MQ44" i="2"/>
  <c r="MP44" i="2"/>
  <c r="MO44" i="2"/>
  <c r="MN44" i="2"/>
  <c r="MM44" i="2"/>
  <c r="ML44" i="2"/>
  <c r="MK44" i="2"/>
  <c r="MJ44" i="2"/>
  <c r="MI44" i="2"/>
  <c r="MH44" i="2"/>
  <c r="MG44" i="2"/>
  <c r="MF44" i="2"/>
  <c r="ME44" i="2"/>
  <c r="MD44" i="2"/>
  <c r="MC44" i="2"/>
  <c r="MB44" i="2"/>
  <c r="MA44" i="2"/>
  <c r="LZ44" i="2"/>
  <c r="LY44" i="2"/>
  <c r="LX44" i="2"/>
  <c r="LW44" i="2"/>
  <c r="LV44" i="2"/>
  <c r="LU44" i="2"/>
  <c r="LT44" i="2"/>
  <c r="LS44" i="2"/>
  <c r="LR44" i="2"/>
  <c r="LQ44" i="2"/>
  <c r="LP44" i="2"/>
  <c r="LO44" i="2"/>
  <c r="LN44" i="2"/>
  <c r="LM44" i="2"/>
  <c r="LL44" i="2"/>
  <c r="LK44" i="2"/>
  <c r="LJ44" i="2"/>
  <c r="LI44" i="2"/>
  <c r="LH44" i="2"/>
  <c r="LG44" i="2"/>
  <c r="LF44" i="2"/>
  <c r="LE44" i="2"/>
  <c r="LD44" i="2"/>
  <c r="LC44" i="2"/>
  <c r="LB44" i="2"/>
  <c r="LA44" i="2"/>
  <c r="KZ44" i="2"/>
  <c r="KY44" i="2"/>
  <c r="KX44" i="2"/>
  <c r="KW44" i="2"/>
  <c r="KV44" i="2"/>
  <c r="KU44" i="2"/>
  <c r="KT44" i="2"/>
  <c r="KS44" i="2"/>
  <c r="KR44" i="2"/>
  <c r="KQ44" i="2"/>
  <c r="KP44" i="2"/>
  <c r="KO44" i="2"/>
  <c r="KN44" i="2"/>
  <c r="KM44" i="2"/>
  <c r="KL44" i="2"/>
  <c r="KK44" i="2"/>
  <c r="KJ44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S44" i="2"/>
  <c r="JR44" i="2"/>
  <c r="JQ44" i="2"/>
  <c r="JP44" i="2"/>
  <c r="JO44" i="2"/>
  <c r="JN44" i="2"/>
  <c r="JM44" i="2"/>
  <c r="JL44" i="2"/>
  <c r="JK44" i="2"/>
  <c r="JJ44" i="2"/>
  <c r="JI44" i="2"/>
  <c r="JH44" i="2"/>
  <c r="JG44" i="2"/>
  <c r="JF44" i="2"/>
  <c r="JE44" i="2"/>
  <c r="JD44" i="2"/>
  <c r="JC44" i="2"/>
  <c r="JB44" i="2"/>
  <c r="JA44" i="2"/>
  <c r="IZ44" i="2"/>
  <c r="IY44" i="2"/>
  <c r="IX44" i="2"/>
  <c r="IW44" i="2"/>
  <c r="IV44" i="2"/>
  <c r="IU44" i="2"/>
  <c r="IT44" i="2"/>
  <c r="IS44" i="2"/>
  <c r="IR44" i="2"/>
  <c r="IQ44" i="2"/>
  <c r="IP44" i="2"/>
  <c r="IO44" i="2"/>
  <c r="IN44" i="2"/>
  <c r="IM44" i="2"/>
  <c r="IL44" i="2"/>
  <c r="IK44" i="2"/>
  <c r="IJ44" i="2"/>
  <c r="II44" i="2"/>
  <c r="IH44" i="2"/>
  <c r="IG44" i="2"/>
  <c r="IF44" i="2"/>
  <c r="IE44" i="2"/>
  <c r="ID44" i="2"/>
  <c r="IC44" i="2"/>
  <c r="IB44" i="2"/>
  <c r="IA44" i="2"/>
  <c r="HZ44" i="2"/>
  <c r="HY44" i="2"/>
  <c r="HX44" i="2"/>
  <c r="HW44" i="2"/>
  <c r="HV44" i="2"/>
  <c r="HU44" i="2"/>
  <c r="HT44" i="2"/>
  <c r="HS44" i="2"/>
  <c r="HR44" i="2"/>
  <c r="HQ44" i="2"/>
  <c r="HP44" i="2"/>
  <c r="HO44" i="2"/>
  <c r="HN44" i="2"/>
  <c r="HM44" i="2"/>
  <c r="HL44" i="2"/>
  <c r="HK44" i="2"/>
  <c r="HJ44" i="2"/>
  <c r="HI44" i="2"/>
  <c r="HH44" i="2"/>
  <c r="HG44" i="2"/>
  <c r="HA44" i="2"/>
  <c r="GZ44" i="2"/>
  <c r="GY44" i="2"/>
  <c r="GX44" i="2"/>
  <c r="GW44" i="2"/>
  <c r="M44" i="2"/>
  <c r="L44" i="2"/>
  <c r="HF44" i="2" s="1"/>
  <c r="K44" i="2"/>
  <c r="HE44" i="2" s="1"/>
  <c r="J44" i="2"/>
  <c r="HD44" i="2" s="1"/>
  <c r="H44" i="2"/>
  <c r="HC44" i="2" s="1"/>
  <c r="G44" i="2"/>
  <c r="F44" i="2"/>
  <c r="OL43" i="2"/>
  <c r="OK43" i="2"/>
  <c r="OJ43" i="2"/>
  <c r="OI43" i="2"/>
  <c r="OH43" i="2"/>
  <c r="OG43" i="2"/>
  <c r="OF43" i="2"/>
  <c r="OE43" i="2"/>
  <c r="OD43" i="2"/>
  <c r="OC43" i="2"/>
  <c r="OB43" i="2"/>
  <c r="OA43" i="2"/>
  <c r="NZ43" i="2"/>
  <c r="NY43" i="2"/>
  <c r="NX43" i="2"/>
  <c r="NW43" i="2"/>
  <c r="NV43" i="2"/>
  <c r="NU43" i="2"/>
  <c r="NT43" i="2"/>
  <c r="NS43" i="2"/>
  <c r="NR43" i="2"/>
  <c r="NQ43" i="2"/>
  <c r="NP43" i="2"/>
  <c r="NO43" i="2"/>
  <c r="NN43" i="2"/>
  <c r="NM43" i="2"/>
  <c r="NL43" i="2"/>
  <c r="NK43" i="2"/>
  <c r="NJ43" i="2"/>
  <c r="NI43" i="2"/>
  <c r="NH43" i="2"/>
  <c r="NG43" i="2"/>
  <c r="NF43" i="2"/>
  <c r="NE43" i="2"/>
  <c r="ND43" i="2"/>
  <c r="NC43" i="2"/>
  <c r="NB43" i="2"/>
  <c r="NA43" i="2"/>
  <c r="MZ43" i="2"/>
  <c r="MY43" i="2"/>
  <c r="MX43" i="2"/>
  <c r="MW43" i="2"/>
  <c r="MV43" i="2"/>
  <c r="MU43" i="2"/>
  <c r="MT43" i="2"/>
  <c r="MS43" i="2"/>
  <c r="MR43" i="2"/>
  <c r="MQ43" i="2"/>
  <c r="MP43" i="2"/>
  <c r="MO43" i="2"/>
  <c r="MN43" i="2"/>
  <c r="MM43" i="2"/>
  <c r="ML43" i="2"/>
  <c r="MK43" i="2"/>
  <c r="MJ43" i="2"/>
  <c r="MI43" i="2"/>
  <c r="MH43" i="2"/>
  <c r="MG43" i="2"/>
  <c r="MF43" i="2"/>
  <c r="ME43" i="2"/>
  <c r="MD43" i="2"/>
  <c r="MC43" i="2"/>
  <c r="MB43" i="2"/>
  <c r="MA43" i="2"/>
  <c r="LZ43" i="2"/>
  <c r="LY43" i="2"/>
  <c r="LX43" i="2"/>
  <c r="LW43" i="2"/>
  <c r="LV43" i="2"/>
  <c r="LU43" i="2"/>
  <c r="LT43" i="2"/>
  <c r="LS43" i="2"/>
  <c r="LR43" i="2"/>
  <c r="LQ43" i="2"/>
  <c r="LP43" i="2"/>
  <c r="LO43" i="2"/>
  <c r="LN43" i="2"/>
  <c r="LM43" i="2"/>
  <c r="LL43" i="2"/>
  <c r="LK43" i="2"/>
  <c r="LJ43" i="2"/>
  <c r="LI43" i="2"/>
  <c r="LH43" i="2"/>
  <c r="LG43" i="2"/>
  <c r="LF43" i="2"/>
  <c r="LE43" i="2"/>
  <c r="LD43" i="2"/>
  <c r="LC43" i="2"/>
  <c r="LB43" i="2"/>
  <c r="LA43" i="2"/>
  <c r="KZ43" i="2"/>
  <c r="KY43" i="2"/>
  <c r="KX43" i="2"/>
  <c r="KW43" i="2"/>
  <c r="KV43" i="2"/>
  <c r="KU43" i="2"/>
  <c r="KT43" i="2"/>
  <c r="KS43" i="2"/>
  <c r="KR43" i="2"/>
  <c r="KQ43" i="2"/>
  <c r="KP43" i="2"/>
  <c r="KO43" i="2"/>
  <c r="KN43" i="2"/>
  <c r="KM43" i="2"/>
  <c r="KL43" i="2"/>
  <c r="KK43" i="2"/>
  <c r="KJ43" i="2"/>
  <c r="KI43" i="2"/>
  <c r="KH43" i="2"/>
  <c r="KG43" i="2"/>
  <c r="KF43" i="2"/>
  <c r="KE43" i="2"/>
  <c r="KD43" i="2"/>
  <c r="KC43" i="2"/>
  <c r="KB43" i="2"/>
  <c r="KA43" i="2"/>
  <c r="JZ43" i="2"/>
  <c r="JY43" i="2"/>
  <c r="JX43" i="2"/>
  <c r="JW43" i="2"/>
  <c r="JV43" i="2"/>
  <c r="JU43" i="2"/>
  <c r="JT43" i="2"/>
  <c r="JS43" i="2"/>
  <c r="JR43" i="2"/>
  <c r="JQ43" i="2"/>
  <c r="JP43" i="2"/>
  <c r="JO43" i="2"/>
  <c r="JN43" i="2"/>
  <c r="JM43" i="2"/>
  <c r="JL43" i="2"/>
  <c r="JK43" i="2"/>
  <c r="JJ43" i="2"/>
  <c r="JI43" i="2"/>
  <c r="JH43" i="2"/>
  <c r="JG43" i="2"/>
  <c r="JF43" i="2"/>
  <c r="JE43" i="2"/>
  <c r="JD43" i="2"/>
  <c r="JC43" i="2"/>
  <c r="JB43" i="2"/>
  <c r="JA43" i="2"/>
  <c r="IZ43" i="2"/>
  <c r="IY43" i="2"/>
  <c r="IX43" i="2"/>
  <c r="IW43" i="2"/>
  <c r="IV43" i="2"/>
  <c r="IU43" i="2"/>
  <c r="IT43" i="2"/>
  <c r="IS43" i="2"/>
  <c r="IR43" i="2"/>
  <c r="IQ43" i="2"/>
  <c r="IP43" i="2"/>
  <c r="IO43" i="2"/>
  <c r="IN43" i="2"/>
  <c r="IM43" i="2"/>
  <c r="IL43" i="2"/>
  <c r="IK43" i="2"/>
  <c r="IJ43" i="2"/>
  <c r="II43" i="2"/>
  <c r="IH43" i="2"/>
  <c r="IG43" i="2"/>
  <c r="IF43" i="2"/>
  <c r="IE43" i="2"/>
  <c r="ID43" i="2"/>
  <c r="IC43" i="2"/>
  <c r="IB43" i="2"/>
  <c r="IA43" i="2"/>
  <c r="HZ43" i="2"/>
  <c r="HY43" i="2"/>
  <c r="HX43" i="2"/>
  <c r="HW43" i="2"/>
  <c r="HV43" i="2"/>
  <c r="HU43" i="2"/>
  <c r="HT43" i="2"/>
  <c r="HS43" i="2"/>
  <c r="HR43" i="2"/>
  <c r="HQ43" i="2"/>
  <c r="HP43" i="2"/>
  <c r="HO43" i="2"/>
  <c r="HN43" i="2"/>
  <c r="HM43" i="2"/>
  <c r="HL43" i="2"/>
  <c r="HK43" i="2"/>
  <c r="HJ43" i="2"/>
  <c r="HI43" i="2"/>
  <c r="HG43" i="2"/>
  <c r="HF43" i="2"/>
  <c r="HE43" i="2"/>
  <c r="GY43" i="2"/>
  <c r="GX43" i="2"/>
  <c r="GW43" i="2"/>
  <c r="M43" i="2"/>
  <c r="HH43" i="2" s="1"/>
  <c r="L43" i="2"/>
  <c r="K43" i="2"/>
  <c r="J43" i="2"/>
  <c r="HD43" i="2" s="1"/>
  <c r="H43" i="2"/>
  <c r="HC43" i="2" s="1"/>
  <c r="G43" i="2"/>
  <c r="HA43" i="2" s="1"/>
  <c r="F43" i="2"/>
  <c r="OL42" i="2"/>
  <c r="OK42" i="2"/>
  <c r="OJ42" i="2"/>
  <c r="OI42" i="2"/>
  <c r="OH42" i="2"/>
  <c r="OG42" i="2"/>
  <c r="OF42" i="2"/>
  <c r="OE42" i="2"/>
  <c r="OD42" i="2"/>
  <c r="OC42" i="2"/>
  <c r="OB42" i="2"/>
  <c r="OA42" i="2"/>
  <c r="NZ42" i="2"/>
  <c r="NY42" i="2"/>
  <c r="NX42" i="2"/>
  <c r="NW42" i="2"/>
  <c r="NV42" i="2"/>
  <c r="NU42" i="2"/>
  <c r="NT42" i="2"/>
  <c r="NS42" i="2"/>
  <c r="NR42" i="2"/>
  <c r="NQ42" i="2"/>
  <c r="NP42" i="2"/>
  <c r="NO42" i="2"/>
  <c r="NN42" i="2"/>
  <c r="NM42" i="2"/>
  <c r="NL42" i="2"/>
  <c r="NK42" i="2"/>
  <c r="NJ42" i="2"/>
  <c r="NI42" i="2"/>
  <c r="NH42" i="2"/>
  <c r="NG42" i="2"/>
  <c r="NF42" i="2"/>
  <c r="NE42" i="2"/>
  <c r="ND42" i="2"/>
  <c r="NC42" i="2"/>
  <c r="NB42" i="2"/>
  <c r="NA42" i="2"/>
  <c r="MZ42" i="2"/>
  <c r="MY42" i="2"/>
  <c r="MX42" i="2"/>
  <c r="MW42" i="2"/>
  <c r="MV42" i="2"/>
  <c r="MU42" i="2"/>
  <c r="MT42" i="2"/>
  <c r="MS42" i="2"/>
  <c r="MR42" i="2"/>
  <c r="MQ42" i="2"/>
  <c r="MP42" i="2"/>
  <c r="MO42" i="2"/>
  <c r="MN42" i="2"/>
  <c r="MM42" i="2"/>
  <c r="ML42" i="2"/>
  <c r="MK42" i="2"/>
  <c r="MJ42" i="2"/>
  <c r="MI42" i="2"/>
  <c r="MH42" i="2"/>
  <c r="MG42" i="2"/>
  <c r="MF42" i="2"/>
  <c r="ME42" i="2"/>
  <c r="MD42" i="2"/>
  <c r="MC42" i="2"/>
  <c r="MB42" i="2"/>
  <c r="MA42" i="2"/>
  <c r="LZ42" i="2"/>
  <c r="LY42" i="2"/>
  <c r="LX42" i="2"/>
  <c r="LW42" i="2"/>
  <c r="LV42" i="2"/>
  <c r="LU42" i="2"/>
  <c r="LT42" i="2"/>
  <c r="LS42" i="2"/>
  <c r="LR42" i="2"/>
  <c r="LQ42" i="2"/>
  <c r="LP42" i="2"/>
  <c r="LO42" i="2"/>
  <c r="LN42" i="2"/>
  <c r="LM42" i="2"/>
  <c r="LL42" i="2"/>
  <c r="LK42" i="2"/>
  <c r="LJ42" i="2"/>
  <c r="LI42" i="2"/>
  <c r="LH42" i="2"/>
  <c r="LG42" i="2"/>
  <c r="LF42" i="2"/>
  <c r="LE42" i="2"/>
  <c r="OL41" i="2"/>
  <c r="OK41" i="2"/>
  <c r="OJ41" i="2"/>
  <c r="OI41" i="2"/>
  <c r="OH41" i="2"/>
  <c r="OG41" i="2"/>
  <c r="OF41" i="2"/>
  <c r="OE41" i="2"/>
  <c r="OD41" i="2"/>
  <c r="OC41" i="2"/>
  <c r="OB41" i="2"/>
  <c r="OA41" i="2"/>
  <c r="NZ41" i="2"/>
  <c r="NY41" i="2"/>
  <c r="NX41" i="2"/>
  <c r="NW41" i="2"/>
  <c r="NV41" i="2"/>
  <c r="NU41" i="2"/>
  <c r="NT41" i="2"/>
  <c r="NS41" i="2"/>
  <c r="NR41" i="2"/>
  <c r="NQ41" i="2"/>
  <c r="NP41" i="2"/>
  <c r="NO41" i="2"/>
  <c r="NN41" i="2"/>
  <c r="NM41" i="2"/>
  <c r="NL41" i="2"/>
  <c r="NK41" i="2"/>
  <c r="NJ41" i="2"/>
  <c r="NI41" i="2"/>
  <c r="NH41" i="2"/>
  <c r="NG41" i="2"/>
  <c r="NF41" i="2"/>
  <c r="NE41" i="2"/>
  <c r="ND41" i="2"/>
  <c r="NC41" i="2"/>
  <c r="NB41" i="2"/>
  <c r="NA41" i="2"/>
  <c r="MZ41" i="2"/>
  <c r="MY41" i="2"/>
  <c r="MX41" i="2"/>
  <c r="MW41" i="2"/>
  <c r="MV41" i="2"/>
  <c r="MU41" i="2"/>
  <c r="MT41" i="2"/>
  <c r="MS41" i="2"/>
  <c r="MR41" i="2"/>
  <c r="MQ41" i="2"/>
  <c r="MP41" i="2"/>
  <c r="MO41" i="2"/>
  <c r="MN41" i="2"/>
  <c r="MM41" i="2"/>
  <c r="ML41" i="2"/>
  <c r="MK41" i="2"/>
  <c r="MJ41" i="2"/>
  <c r="MI41" i="2"/>
  <c r="MH41" i="2"/>
  <c r="MG41" i="2"/>
  <c r="MF41" i="2"/>
  <c r="ME41" i="2"/>
  <c r="MD41" i="2"/>
  <c r="MC41" i="2"/>
  <c r="MB41" i="2"/>
  <c r="MA41" i="2"/>
  <c r="LZ41" i="2"/>
  <c r="LY41" i="2"/>
  <c r="LX41" i="2"/>
  <c r="LW41" i="2"/>
  <c r="LV41" i="2"/>
  <c r="LU41" i="2"/>
  <c r="LT41" i="2"/>
  <c r="LS41" i="2"/>
  <c r="LR41" i="2"/>
  <c r="LQ41" i="2"/>
  <c r="LP41" i="2"/>
  <c r="LO41" i="2"/>
  <c r="LN41" i="2"/>
  <c r="LM41" i="2"/>
  <c r="LL41" i="2"/>
  <c r="LK41" i="2"/>
  <c r="LJ41" i="2"/>
  <c r="LI41" i="2"/>
  <c r="LH41" i="2"/>
  <c r="LG41" i="2"/>
  <c r="LF41" i="2"/>
  <c r="LE41" i="2"/>
  <c r="LD41" i="2"/>
  <c r="LC41" i="2"/>
  <c r="LB41" i="2"/>
  <c r="LA41" i="2"/>
  <c r="KZ41" i="2"/>
  <c r="KY41" i="2"/>
  <c r="KX41" i="2"/>
  <c r="KW41" i="2"/>
  <c r="KV41" i="2"/>
  <c r="KU41" i="2"/>
  <c r="KT41" i="2"/>
  <c r="KS41" i="2"/>
  <c r="KR41" i="2"/>
  <c r="KQ41" i="2"/>
  <c r="KP41" i="2"/>
  <c r="KO41" i="2"/>
  <c r="KN41" i="2"/>
  <c r="KM41" i="2"/>
  <c r="KL41" i="2"/>
  <c r="KK41" i="2"/>
  <c r="KJ41" i="2"/>
  <c r="KI41" i="2"/>
  <c r="KH41" i="2"/>
  <c r="KG41" i="2"/>
  <c r="KF41" i="2"/>
  <c r="KE41" i="2"/>
  <c r="KD41" i="2"/>
  <c r="KC41" i="2"/>
  <c r="KB41" i="2"/>
  <c r="KA41" i="2"/>
  <c r="JZ41" i="2"/>
  <c r="JY41" i="2"/>
  <c r="JX41" i="2"/>
  <c r="JW41" i="2"/>
  <c r="JV41" i="2"/>
  <c r="JU41" i="2"/>
  <c r="JT41" i="2"/>
  <c r="JS41" i="2"/>
  <c r="JR41" i="2"/>
  <c r="JQ41" i="2"/>
  <c r="JP41" i="2"/>
  <c r="JO41" i="2"/>
  <c r="JN41" i="2"/>
  <c r="JM41" i="2"/>
  <c r="JL41" i="2"/>
  <c r="JK41" i="2"/>
  <c r="JJ41" i="2"/>
  <c r="JI41" i="2"/>
  <c r="JH41" i="2"/>
  <c r="JG41" i="2"/>
  <c r="JF41" i="2"/>
  <c r="JE41" i="2"/>
  <c r="JD41" i="2"/>
  <c r="JC41" i="2"/>
  <c r="JB41" i="2"/>
  <c r="JA41" i="2"/>
  <c r="IZ41" i="2"/>
  <c r="IY41" i="2"/>
  <c r="IX41" i="2"/>
  <c r="IW41" i="2"/>
  <c r="IV41" i="2"/>
  <c r="IU41" i="2"/>
  <c r="IT41" i="2"/>
  <c r="IS41" i="2"/>
  <c r="IR41" i="2"/>
  <c r="IQ41" i="2"/>
  <c r="IP41" i="2"/>
  <c r="IO41" i="2"/>
  <c r="IN41" i="2"/>
  <c r="IM41" i="2"/>
  <c r="IL41" i="2"/>
  <c r="IK41" i="2"/>
  <c r="IJ41" i="2"/>
  <c r="II41" i="2"/>
  <c r="IH41" i="2"/>
  <c r="IG41" i="2"/>
  <c r="IF41" i="2"/>
  <c r="IE41" i="2"/>
  <c r="ID41" i="2"/>
  <c r="IC41" i="2"/>
  <c r="IB41" i="2"/>
  <c r="IA41" i="2"/>
  <c r="HZ41" i="2"/>
  <c r="HY41" i="2"/>
  <c r="HX41" i="2"/>
  <c r="HW41" i="2"/>
  <c r="HV41" i="2"/>
  <c r="HU41" i="2"/>
  <c r="HT41" i="2"/>
  <c r="HS41" i="2"/>
  <c r="HR41" i="2"/>
  <c r="HQ41" i="2"/>
  <c r="HP41" i="2"/>
  <c r="HO41" i="2"/>
  <c r="HN41" i="2"/>
  <c r="HM41" i="2"/>
  <c r="HL41" i="2"/>
  <c r="HK41" i="2"/>
  <c r="HJ41" i="2"/>
  <c r="HI41" i="2"/>
  <c r="HD41" i="2"/>
  <c r="HC41" i="2"/>
  <c r="HB41" i="2"/>
  <c r="GZ41" i="2"/>
  <c r="GY41" i="2"/>
  <c r="GX41" i="2"/>
  <c r="GW41" i="2"/>
  <c r="M41" i="2"/>
  <c r="HH41" i="2" s="1"/>
  <c r="L41" i="2"/>
  <c r="HF41" i="2" s="1"/>
  <c r="K41" i="2"/>
  <c r="J41" i="2"/>
  <c r="HE41" i="2" s="1"/>
  <c r="H41" i="2"/>
  <c r="G41" i="2"/>
  <c r="HA41" i="2" s="1"/>
  <c r="F41" i="2"/>
  <c r="HF34" i="2"/>
  <c r="HE34" i="2"/>
  <c r="HD34" i="2"/>
  <c r="HB34" i="2"/>
  <c r="HA34" i="2"/>
  <c r="GZ34" i="2"/>
  <c r="GY34" i="2"/>
  <c r="GX34" i="2"/>
  <c r="GW34" i="2"/>
  <c r="GV34" i="2"/>
  <c r="AW34" i="2"/>
  <c r="L34" i="2"/>
  <c r="K34" i="2"/>
  <c r="J34" i="2"/>
  <c r="H34" i="2"/>
  <c r="G34" i="2"/>
  <c r="F34" i="2"/>
  <c r="E34" i="2"/>
  <c r="D34" i="2"/>
  <c r="C34" i="2"/>
  <c r="B34" i="2"/>
  <c r="OL28" i="2"/>
  <c r="OK28" i="2"/>
  <c r="OJ28" i="2"/>
  <c r="OI28" i="2"/>
  <c r="OH28" i="2"/>
  <c r="OG28" i="2"/>
  <c r="OF28" i="2"/>
  <c r="OE28" i="2"/>
  <c r="OD28" i="2"/>
  <c r="OC28" i="2"/>
  <c r="OB28" i="2"/>
  <c r="OA28" i="2"/>
  <c r="NZ28" i="2"/>
  <c r="NY28" i="2"/>
  <c r="NX28" i="2"/>
  <c r="NW28" i="2"/>
  <c r="NV28" i="2"/>
  <c r="NU28" i="2"/>
  <c r="NT28" i="2"/>
  <c r="NS28" i="2"/>
  <c r="NR28" i="2"/>
  <c r="NQ28" i="2"/>
  <c r="NP28" i="2"/>
  <c r="NO28" i="2"/>
  <c r="NN28" i="2"/>
  <c r="NM28" i="2"/>
  <c r="NL28" i="2"/>
  <c r="NK28" i="2"/>
  <c r="NJ28" i="2"/>
  <c r="NI28" i="2"/>
  <c r="NH28" i="2"/>
  <c r="NG28" i="2"/>
  <c r="NF28" i="2"/>
  <c r="NE28" i="2"/>
  <c r="ND28" i="2"/>
  <c r="NC28" i="2"/>
  <c r="NB28" i="2"/>
  <c r="NA28" i="2"/>
  <c r="MZ28" i="2"/>
  <c r="MY28" i="2"/>
  <c r="MX28" i="2"/>
  <c r="MW28" i="2"/>
  <c r="MV28" i="2"/>
  <c r="MU28" i="2"/>
  <c r="MT28" i="2"/>
  <c r="MS28" i="2"/>
  <c r="MR28" i="2"/>
  <c r="MQ28" i="2"/>
  <c r="MP28" i="2"/>
  <c r="MO28" i="2"/>
  <c r="MN28" i="2"/>
  <c r="MM28" i="2"/>
  <c r="ML28" i="2"/>
  <c r="MK28" i="2"/>
  <c r="MJ28" i="2"/>
  <c r="MI28" i="2"/>
  <c r="MH28" i="2"/>
  <c r="MG28" i="2"/>
  <c r="MF28" i="2"/>
  <c r="ME28" i="2"/>
  <c r="MD28" i="2"/>
  <c r="MC28" i="2"/>
  <c r="MB28" i="2"/>
  <c r="MA28" i="2"/>
  <c r="LZ28" i="2"/>
  <c r="LY28" i="2"/>
  <c r="LX28" i="2"/>
  <c r="LW28" i="2"/>
  <c r="LV28" i="2"/>
  <c r="LU28" i="2"/>
  <c r="LT28" i="2"/>
  <c r="LS28" i="2"/>
  <c r="LR28" i="2"/>
  <c r="LQ28" i="2"/>
  <c r="LP28" i="2"/>
  <c r="LO28" i="2"/>
  <c r="LN28" i="2"/>
  <c r="LM28" i="2"/>
  <c r="LL28" i="2"/>
  <c r="LK28" i="2"/>
  <c r="LJ28" i="2"/>
  <c r="LI28" i="2"/>
  <c r="LH28" i="2"/>
  <c r="LG28" i="2"/>
  <c r="LF28" i="2"/>
  <c r="LE28" i="2"/>
  <c r="LD28" i="2"/>
  <c r="LC28" i="2"/>
  <c r="LB28" i="2"/>
  <c r="LA28" i="2"/>
  <c r="KZ28" i="2"/>
  <c r="KY28" i="2"/>
  <c r="KX28" i="2"/>
  <c r="KW28" i="2"/>
  <c r="KV28" i="2"/>
  <c r="KU28" i="2"/>
  <c r="KT28" i="2"/>
  <c r="KS28" i="2"/>
  <c r="KR28" i="2"/>
  <c r="KQ28" i="2"/>
  <c r="KP28" i="2"/>
  <c r="KO28" i="2"/>
  <c r="KN28" i="2"/>
  <c r="KM28" i="2"/>
  <c r="KL28" i="2"/>
  <c r="KK28" i="2"/>
  <c r="KJ28" i="2"/>
  <c r="KI28" i="2"/>
  <c r="KH28" i="2"/>
  <c r="KG28" i="2"/>
  <c r="KF28" i="2"/>
  <c r="KE28" i="2"/>
  <c r="KD28" i="2"/>
  <c r="KC28" i="2"/>
  <c r="KB28" i="2"/>
  <c r="KA28" i="2"/>
  <c r="JZ28" i="2"/>
  <c r="JY28" i="2"/>
  <c r="JX28" i="2"/>
  <c r="JW28" i="2"/>
  <c r="JV28" i="2"/>
  <c r="JU28" i="2"/>
  <c r="JT28" i="2"/>
  <c r="JS28" i="2"/>
  <c r="JR28" i="2"/>
  <c r="JQ28" i="2"/>
  <c r="JP28" i="2"/>
  <c r="JO28" i="2"/>
  <c r="JN28" i="2"/>
  <c r="JM28" i="2"/>
  <c r="JL28" i="2"/>
  <c r="JK28" i="2"/>
  <c r="JJ28" i="2"/>
  <c r="JI28" i="2"/>
  <c r="JH28" i="2"/>
  <c r="JG28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C28" i="2"/>
  <c r="GY28" i="2"/>
  <c r="GX28" i="2"/>
  <c r="GW28" i="2"/>
  <c r="L28" i="2"/>
  <c r="K28" i="2"/>
  <c r="J28" i="2"/>
  <c r="HD28" i="2" s="1"/>
  <c r="H28" i="2"/>
  <c r="HB28" i="2" s="1"/>
  <c r="G28" i="2"/>
  <c r="HA28" i="2" s="1"/>
  <c r="F28" i="2"/>
  <c r="GZ28" i="2" s="1"/>
  <c r="E28" i="2"/>
  <c r="D28" i="2"/>
  <c r="C28" i="2"/>
  <c r="B28" i="2"/>
  <c r="OL27" i="2"/>
  <c r="OK27" i="2"/>
  <c r="OJ27" i="2"/>
  <c r="OI27" i="2"/>
  <c r="OH27" i="2"/>
  <c r="OG27" i="2"/>
  <c r="OF27" i="2"/>
  <c r="OE27" i="2"/>
  <c r="OD27" i="2"/>
  <c r="OC27" i="2"/>
  <c r="OB27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MV27" i="2"/>
  <c r="MU27" i="2"/>
  <c r="MT27" i="2"/>
  <c r="MS27" i="2"/>
  <c r="MR27" i="2"/>
  <c r="MQ27" i="2"/>
  <c r="MP27" i="2"/>
  <c r="MO27" i="2"/>
  <c r="MN27" i="2"/>
  <c r="MM27" i="2"/>
  <c r="ML27" i="2"/>
  <c r="MK27" i="2"/>
  <c r="MJ27" i="2"/>
  <c r="MI27" i="2"/>
  <c r="MH27" i="2"/>
  <c r="MG27" i="2"/>
  <c r="MF27" i="2"/>
  <c r="ME27" i="2"/>
  <c r="MD27" i="2"/>
  <c r="MC27" i="2"/>
  <c r="MB27" i="2"/>
  <c r="MA27" i="2"/>
  <c r="LZ27" i="2"/>
  <c r="LY27" i="2"/>
  <c r="LX27" i="2"/>
  <c r="LW27" i="2"/>
  <c r="LV27" i="2"/>
  <c r="LU27" i="2"/>
  <c r="LT27" i="2"/>
  <c r="LS27" i="2"/>
  <c r="LR27" i="2"/>
  <c r="LQ27" i="2"/>
  <c r="LP27" i="2"/>
  <c r="LO27" i="2"/>
  <c r="LN27" i="2"/>
  <c r="LM27" i="2"/>
  <c r="LL27" i="2"/>
  <c r="LK27" i="2"/>
  <c r="LJ27" i="2"/>
  <c r="LI27" i="2"/>
  <c r="LH27" i="2"/>
  <c r="LG27" i="2"/>
  <c r="LF27" i="2"/>
  <c r="LE27" i="2"/>
  <c r="LD27" i="2"/>
  <c r="LC27" i="2"/>
  <c r="LB27" i="2"/>
  <c r="LA27" i="2"/>
  <c r="KZ27" i="2"/>
  <c r="KY27" i="2"/>
  <c r="KX27" i="2"/>
  <c r="KW27" i="2"/>
  <c r="KV27" i="2"/>
  <c r="KU27" i="2"/>
  <c r="KT27" i="2"/>
  <c r="KS27" i="2"/>
  <c r="KR27" i="2"/>
  <c r="KQ27" i="2"/>
  <c r="KP27" i="2"/>
  <c r="KO27" i="2"/>
  <c r="KN27" i="2"/>
  <c r="KM27" i="2"/>
  <c r="KL27" i="2"/>
  <c r="KK27" i="2"/>
  <c r="KJ27" i="2"/>
  <c r="KI27" i="2"/>
  <c r="KH27" i="2"/>
  <c r="KG27" i="2"/>
  <c r="KF27" i="2"/>
  <c r="KE27" i="2"/>
  <c r="KD27" i="2"/>
  <c r="KC27" i="2"/>
  <c r="KB27" i="2"/>
  <c r="KA27" i="2"/>
  <c r="JZ27" i="2"/>
  <c r="JY27" i="2"/>
  <c r="JX27" i="2"/>
  <c r="JW27" i="2"/>
  <c r="JV27" i="2"/>
  <c r="JU27" i="2"/>
  <c r="JT27" i="2"/>
  <c r="JS27" i="2"/>
  <c r="JR27" i="2"/>
  <c r="JQ27" i="2"/>
  <c r="JP27" i="2"/>
  <c r="JO27" i="2"/>
  <c r="JN27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GZ27" i="2"/>
  <c r="GY27" i="2"/>
  <c r="GX27" i="2"/>
  <c r="M27" i="2"/>
  <c r="L27" i="2"/>
  <c r="K27" i="2"/>
  <c r="HE27" i="2" s="1"/>
  <c r="J27" i="2"/>
  <c r="HD27" i="2" s="1"/>
  <c r="H27" i="2"/>
  <c r="HC27" i="2" s="1"/>
  <c r="G27" i="2"/>
  <c r="HA27" i="2" s="1"/>
  <c r="F27" i="2"/>
  <c r="E27" i="2"/>
  <c r="D27" i="2"/>
  <c r="C27" i="2"/>
  <c r="GW27" i="2" s="1"/>
  <c r="B27" i="2"/>
  <c r="OL26" i="2"/>
  <c r="OK26" i="2"/>
  <c r="OJ26" i="2"/>
  <c r="OI26" i="2"/>
  <c r="OH26" i="2"/>
  <c r="OG26" i="2"/>
  <c r="OF26" i="2"/>
  <c r="OE26" i="2"/>
  <c r="OD26" i="2"/>
  <c r="OC26" i="2"/>
  <c r="OB26" i="2"/>
  <c r="OA26" i="2"/>
  <c r="NZ26" i="2"/>
  <c r="NY26" i="2"/>
  <c r="NX26" i="2"/>
  <c r="NW26" i="2"/>
  <c r="NV26" i="2"/>
  <c r="NU26" i="2"/>
  <c r="NT26" i="2"/>
  <c r="NS26" i="2"/>
  <c r="NR26" i="2"/>
  <c r="NQ26" i="2"/>
  <c r="NP26" i="2"/>
  <c r="NO26" i="2"/>
  <c r="NN26" i="2"/>
  <c r="NM26" i="2"/>
  <c r="NL26" i="2"/>
  <c r="NK26" i="2"/>
  <c r="NJ26" i="2"/>
  <c r="NI26" i="2"/>
  <c r="NH26" i="2"/>
  <c r="NG26" i="2"/>
  <c r="NF26" i="2"/>
  <c r="NE26" i="2"/>
  <c r="ND26" i="2"/>
  <c r="NC26" i="2"/>
  <c r="NB26" i="2"/>
  <c r="NA26" i="2"/>
  <c r="MZ26" i="2"/>
  <c r="MY26" i="2"/>
  <c r="MX26" i="2"/>
  <c r="MW26" i="2"/>
  <c r="MV26" i="2"/>
  <c r="MU26" i="2"/>
  <c r="MT26" i="2"/>
  <c r="MS26" i="2"/>
  <c r="MR26" i="2"/>
  <c r="MQ26" i="2"/>
  <c r="MP26" i="2"/>
  <c r="MO26" i="2"/>
  <c r="MN26" i="2"/>
  <c r="MM26" i="2"/>
  <c r="ML26" i="2"/>
  <c r="MK26" i="2"/>
  <c r="MJ26" i="2"/>
  <c r="MI26" i="2"/>
  <c r="MH26" i="2"/>
  <c r="MG26" i="2"/>
  <c r="MF26" i="2"/>
  <c r="ME26" i="2"/>
  <c r="MD26" i="2"/>
  <c r="MC26" i="2"/>
  <c r="MB26" i="2"/>
  <c r="MA26" i="2"/>
  <c r="LZ26" i="2"/>
  <c r="LY26" i="2"/>
  <c r="LX26" i="2"/>
  <c r="LW26" i="2"/>
  <c r="LV26" i="2"/>
  <c r="LU26" i="2"/>
  <c r="LT26" i="2"/>
  <c r="LS26" i="2"/>
  <c r="LR26" i="2"/>
  <c r="LQ26" i="2"/>
  <c r="LP26" i="2"/>
  <c r="LO26" i="2"/>
  <c r="LN26" i="2"/>
  <c r="LM26" i="2"/>
  <c r="LL26" i="2"/>
  <c r="LK26" i="2"/>
  <c r="LJ26" i="2"/>
  <c r="LI26" i="2"/>
  <c r="LH26" i="2"/>
  <c r="LG26" i="2"/>
  <c r="LF26" i="2"/>
  <c r="LE26" i="2"/>
  <c r="LD26" i="2"/>
  <c r="LC26" i="2"/>
  <c r="LB26" i="2"/>
  <c r="LA26" i="2"/>
  <c r="KZ26" i="2"/>
  <c r="KY26" i="2"/>
  <c r="KX26" i="2"/>
  <c r="KW26" i="2"/>
  <c r="KV26" i="2"/>
  <c r="KU26" i="2"/>
  <c r="KT26" i="2"/>
  <c r="KS26" i="2"/>
  <c r="KR26" i="2"/>
  <c r="KQ26" i="2"/>
  <c r="KP26" i="2"/>
  <c r="KO26" i="2"/>
  <c r="KN26" i="2"/>
  <c r="KM26" i="2"/>
  <c r="KL26" i="2"/>
  <c r="KK26" i="2"/>
  <c r="KJ26" i="2"/>
  <c r="KI26" i="2"/>
  <c r="KH26" i="2"/>
  <c r="KG26" i="2"/>
  <c r="KF26" i="2"/>
  <c r="KE26" i="2"/>
  <c r="KD26" i="2"/>
  <c r="KC26" i="2"/>
  <c r="KB26" i="2"/>
  <c r="KA26" i="2"/>
  <c r="JZ26" i="2"/>
  <c r="JY26" i="2"/>
  <c r="JX26" i="2"/>
  <c r="JW26" i="2"/>
  <c r="JV26" i="2"/>
  <c r="JU26" i="2"/>
  <c r="JT26" i="2"/>
  <c r="JS26" i="2"/>
  <c r="JR26" i="2"/>
  <c r="JQ26" i="2"/>
  <c r="JP26" i="2"/>
  <c r="JO26" i="2"/>
  <c r="JN26" i="2"/>
  <c r="JM26" i="2"/>
  <c r="JL26" i="2"/>
  <c r="JK26" i="2"/>
  <c r="JJ26" i="2"/>
  <c r="JI26" i="2"/>
  <c r="JH26" i="2"/>
  <c r="JG26" i="2"/>
  <c r="JF26" i="2"/>
  <c r="JE26" i="2"/>
  <c r="JD26" i="2"/>
  <c r="JC26" i="2"/>
  <c r="JB26" i="2"/>
  <c r="JA26" i="2"/>
  <c r="IZ26" i="2"/>
  <c r="IY26" i="2"/>
  <c r="IX26" i="2"/>
  <c r="IW26" i="2"/>
  <c r="IV26" i="2"/>
  <c r="IU26" i="2"/>
  <c r="IT26" i="2"/>
  <c r="IS26" i="2"/>
  <c r="IR26" i="2"/>
  <c r="IQ26" i="2"/>
  <c r="IP26" i="2"/>
  <c r="IO26" i="2"/>
  <c r="IN26" i="2"/>
  <c r="IM26" i="2"/>
  <c r="IL26" i="2"/>
  <c r="IK26" i="2"/>
  <c r="IJ26" i="2"/>
  <c r="II26" i="2"/>
  <c r="IH26" i="2"/>
  <c r="IG26" i="2"/>
  <c r="IF26" i="2"/>
  <c r="IE26" i="2"/>
  <c r="ID26" i="2"/>
  <c r="IC26" i="2"/>
  <c r="IB26" i="2"/>
  <c r="IA26" i="2"/>
  <c r="HZ26" i="2"/>
  <c r="HY26" i="2"/>
  <c r="HX26" i="2"/>
  <c r="HW26" i="2"/>
  <c r="HV26" i="2"/>
  <c r="HU26" i="2"/>
  <c r="HT26" i="2"/>
  <c r="HS26" i="2"/>
  <c r="HR26" i="2"/>
  <c r="HQ26" i="2"/>
  <c r="HP26" i="2"/>
  <c r="HO26" i="2"/>
  <c r="HN26" i="2"/>
  <c r="HM26" i="2"/>
  <c r="HL26" i="2"/>
  <c r="HK26" i="2"/>
  <c r="HJ26" i="2"/>
  <c r="HI26" i="2"/>
  <c r="HH26" i="2"/>
  <c r="HC26" i="2"/>
  <c r="HB26" i="2"/>
  <c r="HA26" i="2"/>
  <c r="GZ26" i="2"/>
  <c r="M26" i="2"/>
  <c r="HG26" i="2" s="1"/>
  <c r="L26" i="2"/>
  <c r="HF26" i="2" s="1"/>
  <c r="K26" i="2"/>
  <c r="HE26" i="2" s="1"/>
  <c r="J26" i="2"/>
  <c r="HD26" i="2" s="1"/>
  <c r="H26" i="2"/>
  <c r="G26" i="2"/>
  <c r="F26" i="2"/>
  <c r="E26" i="2"/>
  <c r="GY26" i="2" s="1"/>
  <c r="D26" i="2"/>
  <c r="C26" i="2"/>
  <c r="GX26" i="2" s="1"/>
  <c r="B26" i="2"/>
  <c r="OL25" i="2"/>
  <c r="OK25" i="2"/>
  <c r="OJ25" i="2"/>
  <c r="OI25" i="2"/>
  <c r="OH25" i="2"/>
  <c r="OG25" i="2"/>
  <c r="OF25" i="2"/>
  <c r="OE25" i="2"/>
  <c r="OD25" i="2"/>
  <c r="OC25" i="2"/>
  <c r="OB25" i="2"/>
  <c r="OA25" i="2"/>
  <c r="NZ25" i="2"/>
  <c r="NY25" i="2"/>
  <c r="NX25" i="2"/>
  <c r="NW25" i="2"/>
  <c r="NV25" i="2"/>
  <c r="NU25" i="2"/>
  <c r="NT25" i="2"/>
  <c r="NS25" i="2"/>
  <c r="NR25" i="2"/>
  <c r="NQ25" i="2"/>
  <c r="NP25" i="2"/>
  <c r="NO25" i="2"/>
  <c r="NN25" i="2"/>
  <c r="NM25" i="2"/>
  <c r="NL25" i="2"/>
  <c r="NK25" i="2"/>
  <c r="NJ25" i="2"/>
  <c r="NI25" i="2"/>
  <c r="NH25" i="2"/>
  <c r="NG25" i="2"/>
  <c r="NF25" i="2"/>
  <c r="NE25" i="2"/>
  <c r="ND25" i="2"/>
  <c r="NC25" i="2"/>
  <c r="NB25" i="2"/>
  <c r="NA25" i="2"/>
  <c r="MZ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OL24" i="2"/>
  <c r="OK24" i="2"/>
  <c r="OJ24" i="2"/>
  <c r="OI24" i="2"/>
  <c r="OH24" i="2"/>
  <c r="OG24" i="2"/>
  <c r="OF24" i="2"/>
  <c r="OE24" i="2"/>
  <c r="OD24" i="2"/>
  <c r="OC24" i="2"/>
  <c r="OB24" i="2"/>
  <c r="OA24" i="2"/>
  <c r="NZ24" i="2"/>
  <c r="NY24" i="2"/>
  <c r="NX24" i="2"/>
  <c r="NW24" i="2"/>
  <c r="NV24" i="2"/>
  <c r="NU24" i="2"/>
  <c r="NT24" i="2"/>
  <c r="NS24" i="2"/>
  <c r="NR24" i="2"/>
  <c r="NQ24" i="2"/>
  <c r="NP24" i="2"/>
  <c r="NO24" i="2"/>
  <c r="NN24" i="2"/>
  <c r="NM24" i="2"/>
  <c r="NL24" i="2"/>
  <c r="NK24" i="2"/>
  <c r="NJ24" i="2"/>
  <c r="NI24" i="2"/>
  <c r="NH24" i="2"/>
  <c r="NG24" i="2"/>
  <c r="NF24" i="2"/>
  <c r="NE24" i="2"/>
  <c r="ND24" i="2"/>
  <c r="NC24" i="2"/>
  <c r="NB24" i="2"/>
  <c r="NA24" i="2"/>
  <c r="MZ24" i="2"/>
  <c r="MY24" i="2"/>
  <c r="MX24" i="2"/>
  <c r="MW24" i="2"/>
  <c r="MV24" i="2"/>
  <c r="MU24" i="2"/>
  <c r="MT24" i="2"/>
  <c r="MS24" i="2"/>
  <c r="MR24" i="2"/>
  <c r="MQ24" i="2"/>
  <c r="MP24" i="2"/>
  <c r="MO24" i="2"/>
  <c r="MN24" i="2"/>
  <c r="MM24" i="2"/>
  <c r="ML24" i="2"/>
  <c r="MK24" i="2"/>
  <c r="MJ24" i="2"/>
  <c r="MI24" i="2"/>
  <c r="MH24" i="2"/>
  <c r="MG24" i="2"/>
  <c r="MF24" i="2"/>
  <c r="ME24" i="2"/>
  <c r="MD24" i="2"/>
  <c r="MC24" i="2"/>
  <c r="MB24" i="2"/>
  <c r="MA24" i="2"/>
  <c r="LZ24" i="2"/>
  <c r="LY24" i="2"/>
  <c r="LX24" i="2"/>
  <c r="LW24" i="2"/>
  <c r="LV24" i="2"/>
  <c r="LU24" i="2"/>
  <c r="LT24" i="2"/>
  <c r="LS24" i="2"/>
  <c r="LR24" i="2"/>
  <c r="LQ24" i="2"/>
  <c r="LP24" i="2"/>
  <c r="LO24" i="2"/>
  <c r="LN24" i="2"/>
  <c r="LM24" i="2"/>
  <c r="LL24" i="2"/>
  <c r="LK24" i="2"/>
  <c r="LJ24" i="2"/>
  <c r="LI24" i="2"/>
  <c r="LH24" i="2"/>
  <c r="LG24" i="2"/>
  <c r="LF24" i="2"/>
  <c r="LE24" i="2"/>
  <c r="LD24" i="2"/>
  <c r="LC24" i="2"/>
  <c r="LB24" i="2"/>
  <c r="LA24" i="2"/>
  <c r="KZ24" i="2"/>
  <c r="KY24" i="2"/>
  <c r="KX24" i="2"/>
  <c r="KW24" i="2"/>
  <c r="KV24" i="2"/>
  <c r="KU24" i="2"/>
  <c r="KT24" i="2"/>
  <c r="KS24" i="2"/>
  <c r="KR24" i="2"/>
  <c r="KQ24" i="2"/>
  <c r="KP24" i="2"/>
  <c r="KO24" i="2"/>
  <c r="KN24" i="2"/>
  <c r="KM24" i="2"/>
  <c r="KL24" i="2"/>
  <c r="KK24" i="2"/>
  <c r="KJ24" i="2"/>
  <c r="KI24" i="2"/>
  <c r="KH24" i="2"/>
  <c r="KG24" i="2"/>
  <c r="KF24" i="2"/>
  <c r="KE24" i="2"/>
  <c r="KD24" i="2"/>
  <c r="KC24" i="2"/>
  <c r="KB24" i="2"/>
  <c r="KA24" i="2"/>
  <c r="JZ24" i="2"/>
  <c r="JY24" i="2"/>
  <c r="JX24" i="2"/>
  <c r="JW24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D24" i="2"/>
  <c r="HC24" i="2"/>
  <c r="HB24" i="2"/>
  <c r="HA24" i="2"/>
  <c r="M24" i="2"/>
  <c r="HH24" i="2" s="1"/>
  <c r="L24" i="2"/>
  <c r="HF24" i="2" s="1"/>
  <c r="K24" i="2"/>
  <c r="HE24" i="2" s="1"/>
  <c r="J24" i="2"/>
  <c r="H24" i="2"/>
  <c r="G24" i="2"/>
  <c r="F24" i="2"/>
  <c r="GZ24" i="2" s="1"/>
  <c r="E24" i="2"/>
  <c r="D24" i="2"/>
  <c r="GY24" i="2" s="1"/>
  <c r="C24" i="2"/>
  <c r="GW24" i="2" s="1"/>
  <c r="B24" i="2"/>
  <c r="HF17" i="2"/>
  <c r="HE17" i="2"/>
  <c r="HD17" i="2"/>
  <c r="HB17" i="2"/>
  <c r="HA17" i="2"/>
  <c r="GZ17" i="2"/>
  <c r="GY17" i="2"/>
  <c r="GX17" i="2"/>
  <c r="GW17" i="2"/>
  <c r="GV17" i="2"/>
  <c r="AW17" i="2"/>
  <c r="AE17" i="2"/>
  <c r="Z17" i="2"/>
  <c r="M17" i="2"/>
  <c r="L17" i="2"/>
  <c r="J17" i="2"/>
  <c r="H17" i="2"/>
  <c r="G17" i="2"/>
  <c r="F17" i="2"/>
  <c r="E17" i="2"/>
  <c r="D17" i="2"/>
  <c r="C17" i="2"/>
  <c r="B17" i="2"/>
  <c r="OL11" i="2"/>
  <c r="OK11" i="2"/>
  <c r="OJ11" i="2"/>
  <c r="OI11" i="2"/>
  <c r="OH11" i="2"/>
  <c r="OG11" i="2"/>
  <c r="OF11" i="2"/>
  <c r="OE11" i="2"/>
  <c r="OD11" i="2"/>
  <c r="OC11" i="2"/>
  <c r="OB11" i="2"/>
  <c r="OA11" i="2"/>
  <c r="NZ11" i="2"/>
  <c r="NY11" i="2"/>
  <c r="NX11" i="2"/>
  <c r="NW11" i="2"/>
  <c r="NV11" i="2"/>
  <c r="NU11" i="2"/>
  <c r="NT11" i="2"/>
  <c r="NS11" i="2"/>
  <c r="NR11" i="2"/>
  <c r="NQ11" i="2"/>
  <c r="NP11" i="2"/>
  <c r="NO11" i="2"/>
  <c r="NN11" i="2"/>
  <c r="NM11" i="2"/>
  <c r="NL11" i="2"/>
  <c r="NK11" i="2"/>
  <c r="NJ11" i="2"/>
  <c r="NI11" i="2"/>
  <c r="NH11" i="2"/>
  <c r="NG11" i="2"/>
  <c r="NF11" i="2"/>
  <c r="NE11" i="2"/>
  <c r="ND11" i="2"/>
  <c r="NC11" i="2"/>
  <c r="NB11" i="2"/>
  <c r="NA11" i="2"/>
  <c r="MZ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KV11" i="2"/>
  <c r="KU11" i="2"/>
  <c r="KT11" i="2"/>
  <c r="KS11" i="2"/>
  <c r="KR11" i="2"/>
  <c r="KQ11" i="2"/>
  <c r="KP11" i="2"/>
  <c r="KO11" i="2"/>
  <c r="KN11" i="2"/>
  <c r="KM11" i="2"/>
  <c r="KL11" i="2"/>
  <c r="KK11" i="2"/>
  <c r="KJ11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S11" i="2"/>
  <c r="JR11" i="2"/>
  <c r="JQ11" i="2"/>
  <c r="JP11" i="2"/>
  <c r="JO11" i="2"/>
  <c r="JN11" i="2"/>
  <c r="JM11" i="2"/>
  <c r="JL11" i="2"/>
  <c r="JK11" i="2"/>
  <c r="JJ11" i="2"/>
  <c r="JI11" i="2"/>
  <c r="JH11" i="2"/>
  <c r="JG11" i="2"/>
  <c r="JF11" i="2"/>
  <c r="JE11" i="2"/>
  <c r="JD11" i="2"/>
  <c r="JC11" i="2"/>
  <c r="JB11" i="2"/>
  <c r="JA11" i="2"/>
  <c r="IZ11" i="2"/>
  <c r="IY11" i="2"/>
  <c r="IX11" i="2"/>
  <c r="IW11" i="2"/>
  <c r="IV11" i="2"/>
  <c r="IU11" i="2"/>
  <c r="IT11" i="2"/>
  <c r="IS11" i="2"/>
  <c r="IR11" i="2"/>
  <c r="IQ11" i="2"/>
  <c r="IP11" i="2"/>
  <c r="IO11" i="2"/>
  <c r="IN11" i="2"/>
  <c r="IM11" i="2"/>
  <c r="IL11" i="2"/>
  <c r="IK11" i="2"/>
  <c r="IJ11" i="2"/>
  <c r="II11" i="2"/>
  <c r="IH11" i="2"/>
  <c r="IG11" i="2"/>
  <c r="IF11" i="2"/>
  <c r="IE11" i="2"/>
  <c r="ID11" i="2"/>
  <c r="IC11" i="2"/>
  <c r="IB11" i="2"/>
  <c r="IA11" i="2"/>
  <c r="HZ11" i="2"/>
  <c r="HY11" i="2"/>
  <c r="HX11" i="2"/>
  <c r="HW11" i="2"/>
  <c r="HV11" i="2"/>
  <c r="HU11" i="2"/>
  <c r="HT11" i="2"/>
  <c r="HS11" i="2"/>
  <c r="HR11" i="2"/>
  <c r="HQ11" i="2"/>
  <c r="HP11" i="2"/>
  <c r="HO11" i="2"/>
  <c r="HN11" i="2"/>
  <c r="HM11" i="2"/>
  <c r="HL11" i="2"/>
  <c r="HK11" i="2"/>
  <c r="HJ11" i="2"/>
  <c r="HI11" i="2"/>
  <c r="HD11" i="2"/>
  <c r="HC11" i="2"/>
  <c r="HB11" i="2"/>
  <c r="HA11" i="2"/>
  <c r="M11" i="2"/>
  <c r="HH11" i="2" s="1"/>
  <c r="L11" i="2"/>
  <c r="HF11" i="2" s="1"/>
  <c r="K11" i="2"/>
  <c r="HE11" i="2" s="1"/>
  <c r="J11" i="2"/>
  <c r="H11" i="2"/>
  <c r="G11" i="2"/>
  <c r="F11" i="2"/>
  <c r="E11" i="2"/>
  <c r="GZ11" i="2" s="1"/>
  <c r="D11" i="2"/>
  <c r="GX11" i="2" s="1"/>
  <c r="C11" i="2"/>
  <c r="GW11" i="2" s="1"/>
  <c r="B11" i="2"/>
  <c r="OL10" i="2"/>
  <c r="OK10" i="2"/>
  <c r="OJ10" i="2"/>
  <c r="OI10" i="2"/>
  <c r="OH10" i="2"/>
  <c r="OG10" i="2"/>
  <c r="OF10" i="2"/>
  <c r="OE10" i="2"/>
  <c r="OD10" i="2"/>
  <c r="OC10" i="2"/>
  <c r="OB10" i="2"/>
  <c r="OA10" i="2"/>
  <c r="NZ10" i="2"/>
  <c r="NY10" i="2"/>
  <c r="NX10" i="2"/>
  <c r="NW10" i="2"/>
  <c r="NV10" i="2"/>
  <c r="NU10" i="2"/>
  <c r="NT10" i="2"/>
  <c r="NS10" i="2"/>
  <c r="NR10" i="2"/>
  <c r="NQ10" i="2"/>
  <c r="NP10" i="2"/>
  <c r="NO10" i="2"/>
  <c r="NN10" i="2"/>
  <c r="NM10" i="2"/>
  <c r="NL10" i="2"/>
  <c r="NK10" i="2"/>
  <c r="NJ10" i="2"/>
  <c r="NI10" i="2"/>
  <c r="NH10" i="2"/>
  <c r="NG10" i="2"/>
  <c r="NF10" i="2"/>
  <c r="NE10" i="2"/>
  <c r="ND10" i="2"/>
  <c r="NC10" i="2"/>
  <c r="NB10" i="2"/>
  <c r="NA10" i="2"/>
  <c r="MZ10" i="2"/>
  <c r="MY10" i="2"/>
  <c r="MX10" i="2"/>
  <c r="MW10" i="2"/>
  <c r="MV10" i="2"/>
  <c r="MU10" i="2"/>
  <c r="MT10" i="2"/>
  <c r="MS10" i="2"/>
  <c r="MR10" i="2"/>
  <c r="MQ10" i="2"/>
  <c r="MP10" i="2"/>
  <c r="MO10" i="2"/>
  <c r="MN10" i="2"/>
  <c r="MM10" i="2"/>
  <c r="ML10" i="2"/>
  <c r="MK10" i="2"/>
  <c r="MJ10" i="2"/>
  <c r="MI10" i="2"/>
  <c r="MH10" i="2"/>
  <c r="MG10" i="2"/>
  <c r="MF10" i="2"/>
  <c r="ME10" i="2"/>
  <c r="MD10" i="2"/>
  <c r="MC10" i="2"/>
  <c r="MB10" i="2"/>
  <c r="MA10" i="2"/>
  <c r="LZ10" i="2"/>
  <c r="LY10" i="2"/>
  <c r="LX10" i="2"/>
  <c r="LW10" i="2"/>
  <c r="LV10" i="2"/>
  <c r="LU10" i="2"/>
  <c r="LT10" i="2"/>
  <c r="LS10" i="2"/>
  <c r="LR10" i="2"/>
  <c r="LQ10" i="2"/>
  <c r="LP10" i="2"/>
  <c r="LO10" i="2"/>
  <c r="LN10" i="2"/>
  <c r="LM10" i="2"/>
  <c r="LL10" i="2"/>
  <c r="LK10" i="2"/>
  <c r="LJ10" i="2"/>
  <c r="LI10" i="2"/>
  <c r="LH10" i="2"/>
  <c r="LG10" i="2"/>
  <c r="LF10" i="2"/>
  <c r="LE10" i="2"/>
  <c r="LD10" i="2"/>
  <c r="LC10" i="2"/>
  <c r="LB10" i="2"/>
  <c r="LA10" i="2"/>
  <c r="KZ10" i="2"/>
  <c r="KY10" i="2"/>
  <c r="KX10" i="2"/>
  <c r="KW10" i="2"/>
  <c r="KV10" i="2"/>
  <c r="KU10" i="2"/>
  <c r="KT10" i="2"/>
  <c r="KS10" i="2"/>
  <c r="KR10" i="2"/>
  <c r="KQ10" i="2"/>
  <c r="KP10" i="2"/>
  <c r="KO10" i="2"/>
  <c r="KN10" i="2"/>
  <c r="KM10" i="2"/>
  <c r="KL10" i="2"/>
  <c r="KK10" i="2"/>
  <c r="KJ10" i="2"/>
  <c r="KI10" i="2"/>
  <c r="KH10" i="2"/>
  <c r="KG10" i="2"/>
  <c r="KF10" i="2"/>
  <c r="KE10" i="2"/>
  <c r="KD10" i="2"/>
  <c r="KC10" i="2"/>
  <c r="KB10" i="2"/>
  <c r="KA10" i="2"/>
  <c r="JZ10" i="2"/>
  <c r="JY10" i="2"/>
  <c r="JX10" i="2"/>
  <c r="JW10" i="2"/>
  <c r="JV10" i="2"/>
  <c r="JU10" i="2"/>
  <c r="JT10" i="2"/>
  <c r="JS10" i="2"/>
  <c r="JR10" i="2"/>
  <c r="JQ10" i="2"/>
  <c r="JP10" i="2"/>
  <c r="JO10" i="2"/>
  <c r="JN10" i="2"/>
  <c r="JM10" i="2"/>
  <c r="JL10" i="2"/>
  <c r="JK10" i="2"/>
  <c r="JJ10" i="2"/>
  <c r="JI10" i="2"/>
  <c r="JH10" i="2"/>
  <c r="JG10" i="2"/>
  <c r="JF10" i="2"/>
  <c r="JE10" i="2"/>
  <c r="JD10" i="2"/>
  <c r="JC10" i="2"/>
  <c r="JB10" i="2"/>
  <c r="JA10" i="2"/>
  <c r="IZ10" i="2"/>
  <c r="IY10" i="2"/>
  <c r="IX10" i="2"/>
  <c r="IW10" i="2"/>
  <c r="IV10" i="2"/>
  <c r="IU10" i="2"/>
  <c r="IT10" i="2"/>
  <c r="IS10" i="2"/>
  <c r="IR10" i="2"/>
  <c r="IQ10" i="2"/>
  <c r="IP10" i="2"/>
  <c r="IO10" i="2"/>
  <c r="IN10" i="2"/>
  <c r="IM10" i="2"/>
  <c r="IL10" i="2"/>
  <c r="IK10" i="2"/>
  <c r="IJ10" i="2"/>
  <c r="II10" i="2"/>
  <c r="IH10" i="2"/>
  <c r="IG10" i="2"/>
  <c r="IF10" i="2"/>
  <c r="IE10" i="2"/>
  <c r="ID10" i="2"/>
  <c r="IC10" i="2"/>
  <c r="IB10" i="2"/>
  <c r="IA10" i="2"/>
  <c r="HZ10" i="2"/>
  <c r="HY10" i="2"/>
  <c r="HX10" i="2"/>
  <c r="HW10" i="2"/>
  <c r="HV10" i="2"/>
  <c r="HU10" i="2"/>
  <c r="HT10" i="2"/>
  <c r="HS10" i="2"/>
  <c r="HR10" i="2"/>
  <c r="HQ10" i="2"/>
  <c r="HP10" i="2"/>
  <c r="HO10" i="2"/>
  <c r="HN10" i="2"/>
  <c r="HM10" i="2"/>
  <c r="HL10" i="2"/>
  <c r="HK10" i="2"/>
  <c r="HJ10" i="2"/>
  <c r="HI10" i="2"/>
  <c r="HF10" i="2"/>
  <c r="HE10" i="2"/>
  <c r="HD10" i="2"/>
  <c r="HC10" i="2"/>
  <c r="GX10" i="2"/>
  <c r="GW10" i="2"/>
  <c r="M10" i="2"/>
  <c r="HH10" i="2" s="1"/>
  <c r="L10" i="2"/>
  <c r="K10" i="2"/>
  <c r="J10" i="2"/>
  <c r="H10" i="2"/>
  <c r="G10" i="2"/>
  <c r="HB10" i="2" s="1"/>
  <c r="F10" i="2"/>
  <c r="GZ10" i="2" s="1"/>
  <c r="E10" i="2"/>
  <c r="GY10" i="2" s="1"/>
  <c r="D10" i="2"/>
  <c r="C10" i="2"/>
  <c r="B10" i="2"/>
  <c r="OL9" i="2"/>
  <c r="OK9" i="2"/>
  <c r="OJ9" i="2"/>
  <c r="OI9" i="2"/>
  <c r="OH9" i="2"/>
  <c r="OG9" i="2"/>
  <c r="OF9" i="2"/>
  <c r="OE9" i="2"/>
  <c r="OD9" i="2"/>
  <c r="OC9" i="2"/>
  <c r="OB9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K9" i="2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Q9" i="2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W9" i="2"/>
  <c r="KV9" i="2"/>
  <c r="KU9" i="2"/>
  <c r="KT9" i="2"/>
  <c r="KS9" i="2"/>
  <c r="KR9" i="2"/>
  <c r="KQ9" i="2"/>
  <c r="KP9" i="2"/>
  <c r="KO9" i="2"/>
  <c r="KN9" i="2"/>
  <c r="KM9" i="2"/>
  <c r="KL9" i="2"/>
  <c r="KK9" i="2"/>
  <c r="KJ9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GZ9" i="2"/>
  <c r="GY9" i="2"/>
  <c r="GX9" i="2"/>
  <c r="GW9" i="2"/>
  <c r="M9" i="2"/>
  <c r="L9" i="2"/>
  <c r="K9" i="2"/>
  <c r="J9" i="2"/>
  <c r="HE9" i="2" s="1"/>
  <c r="H9" i="2"/>
  <c r="HC9" i="2" s="1"/>
  <c r="G9" i="2"/>
  <c r="HA9" i="2" s="1"/>
  <c r="F9" i="2"/>
  <c r="E9" i="2"/>
  <c r="D9" i="2"/>
  <c r="C9" i="2"/>
  <c r="B9" i="2"/>
  <c r="OL8" i="2"/>
  <c r="OK8" i="2"/>
  <c r="OJ8" i="2"/>
  <c r="OI8" i="2"/>
  <c r="OH8" i="2"/>
  <c r="OG8" i="2"/>
  <c r="OF8" i="2"/>
  <c r="OE8" i="2"/>
  <c r="OD8" i="2"/>
  <c r="OC8" i="2"/>
  <c r="OB8" i="2"/>
  <c r="OA8" i="2"/>
  <c r="NZ8" i="2"/>
  <c r="NY8" i="2"/>
  <c r="NX8" i="2"/>
  <c r="NW8" i="2"/>
  <c r="NV8" i="2"/>
  <c r="NU8" i="2"/>
  <c r="NT8" i="2"/>
  <c r="NS8" i="2"/>
  <c r="NR8" i="2"/>
  <c r="NQ8" i="2"/>
  <c r="NP8" i="2"/>
  <c r="NO8" i="2"/>
  <c r="NN8" i="2"/>
  <c r="NM8" i="2"/>
  <c r="NL8" i="2"/>
  <c r="NK8" i="2"/>
  <c r="NJ8" i="2"/>
  <c r="NI8" i="2"/>
  <c r="NH8" i="2"/>
  <c r="NG8" i="2"/>
  <c r="NF8" i="2"/>
  <c r="NE8" i="2"/>
  <c r="ND8" i="2"/>
  <c r="NC8" i="2"/>
  <c r="NB8" i="2"/>
  <c r="NA8" i="2"/>
  <c r="MZ8" i="2"/>
  <c r="MY8" i="2"/>
  <c r="MX8" i="2"/>
  <c r="MW8" i="2"/>
  <c r="MV8" i="2"/>
  <c r="MU8" i="2"/>
  <c r="MT8" i="2"/>
  <c r="MS8" i="2"/>
  <c r="MR8" i="2"/>
  <c r="MQ8" i="2"/>
  <c r="MP8" i="2"/>
  <c r="MO8" i="2"/>
  <c r="MN8" i="2"/>
  <c r="MM8" i="2"/>
  <c r="ML8" i="2"/>
  <c r="MK8" i="2"/>
  <c r="MJ8" i="2"/>
  <c r="MI8" i="2"/>
  <c r="MH8" i="2"/>
  <c r="MG8" i="2"/>
  <c r="MF8" i="2"/>
  <c r="ME8" i="2"/>
  <c r="MD8" i="2"/>
  <c r="MC8" i="2"/>
  <c r="MB8" i="2"/>
  <c r="MA8" i="2"/>
  <c r="LZ8" i="2"/>
  <c r="LY8" i="2"/>
  <c r="LX8" i="2"/>
  <c r="LW8" i="2"/>
  <c r="LV8" i="2"/>
  <c r="LU8" i="2"/>
  <c r="LT8" i="2"/>
  <c r="LS8" i="2"/>
  <c r="LR8" i="2"/>
  <c r="LQ8" i="2"/>
  <c r="LP8" i="2"/>
  <c r="LO8" i="2"/>
  <c r="LN8" i="2"/>
  <c r="LM8" i="2"/>
  <c r="LL8" i="2"/>
  <c r="LK8" i="2"/>
  <c r="LJ8" i="2"/>
  <c r="LI8" i="2"/>
  <c r="LH8" i="2"/>
  <c r="LG8" i="2"/>
  <c r="LF8" i="2"/>
  <c r="LE8" i="2"/>
  <c r="OL7" i="2"/>
  <c r="OK7" i="2"/>
  <c r="OJ7" i="2"/>
  <c r="OI7" i="2"/>
  <c r="OH7" i="2"/>
  <c r="OG7" i="2"/>
  <c r="OF7" i="2"/>
  <c r="OE7" i="2"/>
  <c r="OD7" i="2"/>
  <c r="OC7" i="2"/>
  <c r="OB7" i="2"/>
  <c r="OA7" i="2"/>
  <c r="NZ7" i="2"/>
  <c r="NY7" i="2"/>
  <c r="NX7" i="2"/>
  <c r="NW7" i="2"/>
  <c r="NV7" i="2"/>
  <c r="NU7" i="2"/>
  <c r="NT7" i="2"/>
  <c r="NS7" i="2"/>
  <c r="NR7" i="2"/>
  <c r="NQ7" i="2"/>
  <c r="NP7" i="2"/>
  <c r="NO7" i="2"/>
  <c r="NN7" i="2"/>
  <c r="NM7" i="2"/>
  <c r="NL7" i="2"/>
  <c r="NK7" i="2"/>
  <c r="NJ7" i="2"/>
  <c r="NI7" i="2"/>
  <c r="NH7" i="2"/>
  <c r="NG7" i="2"/>
  <c r="NF7" i="2"/>
  <c r="NE7" i="2"/>
  <c r="ND7" i="2"/>
  <c r="NC7" i="2"/>
  <c r="NB7" i="2"/>
  <c r="NA7" i="2"/>
  <c r="MZ7" i="2"/>
  <c r="MY7" i="2"/>
  <c r="MX7" i="2"/>
  <c r="MW7" i="2"/>
  <c r="MV7" i="2"/>
  <c r="MU7" i="2"/>
  <c r="MT7" i="2"/>
  <c r="MS7" i="2"/>
  <c r="MR7" i="2"/>
  <c r="MQ7" i="2"/>
  <c r="MP7" i="2"/>
  <c r="MO7" i="2"/>
  <c r="MN7" i="2"/>
  <c r="MM7" i="2"/>
  <c r="ML7" i="2"/>
  <c r="MK7" i="2"/>
  <c r="MJ7" i="2"/>
  <c r="MI7" i="2"/>
  <c r="MH7" i="2"/>
  <c r="MG7" i="2"/>
  <c r="MF7" i="2"/>
  <c r="ME7" i="2"/>
  <c r="MD7" i="2"/>
  <c r="MC7" i="2"/>
  <c r="MB7" i="2"/>
  <c r="MA7" i="2"/>
  <c r="LZ7" i="2"/>
  <c r="LY7" i="2"/>
  <c r="LX7" i="2"/>
  <c r="LW7" i="2"/>
  <c r="LV7" i="2"/>
  <c r="LU7" i="2"/>
  <c r="LT7" i="2"/>
  <c r="LS7" i="2"/>
  <c r="LR7" i="2"/>
  <c r="LQ7" i="2"/>
  <c r="LP7" i="2"/>
  <c r="LO7" i="2"/>
  <c r="LN7" i="2"/>
  <c r="LM7" i="2"/>
  <c r="LL7" i="2"/>
  <c r="LK7" i="2"/>
  <c r="LJ7" i="2"/>
  <c r="LI7" i="2"/>
  <c r="LH7" i="2"/>
  <c r="LG7" i="2"/>
  <c r="LF7" i="2"/>
  <c r="LE7" i="2"/>
  <c r="LD7" i="2"/>
  <c r="LC7" i="2"/>
  <c r="LB7" i="2"/>
  <c r="LA7" i="2"/>
  <c r="KZ7" i="2"/>
  <c r="KY7" i="2"/>
  <c r="KX7" i="2"/>
  <c r="KW7" i="2"/>
  <c r="KV7" i="2"/>
  <c r="KU7" i="2"/>
  <c r="KT7" i="2"/>
  <c r="KS7" i="2"/>
  <c r="KR7" i="2"/>
  <c r="KQ7" i="2"/>
  <c r="KP7" i="2"/>
  <c r="KO7" i="2"/>
  <c r="KN7" i="2"/>
  <c r="KM7" i="2"/>
  <c r="KL7" i="2"/>
  <c r="KK7" i="2"/>
  <c r="KJ7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A7" i="2"/>
  <c r="GZ7" i="2"/>
  <c r="GY7" i="2"/>
  <c r="GX7" i="2"/>
  <c r="M7" i="2"/>
  <c r="L7" i="2"/>
  <c r="K7" i="2"/>
  <c r="HF7" i="2" s="1"/>
  <c r="J7" i="2"/>
  <c r="HD7" i="2" s="1"/>
  <c r="H7" i="2"/>
  <c r="HC7" i="2" s="1"/>
  <c r="G7" i="2"/>
  <c r="F7" i="2"/>
  <c r="E7" i="2"/>
  <c r="D7" i="2"/>
  <c r="C7" i="2"/>
  <c r="B7" i="2"/>
  <c r="GW7" i="2" s="1"/>
  <c r="GS96" i="1"/>
  <c r="GS95" i="1"/>
  <c r="GS94" i="1"/>
  <c r="GS93" i="1"/>
  <c r="GS92" i="1"/>
  <c r="GS79" i="1"/>
  <c r="GS78" i="1"/>
  <c r="GS77" i="1"/>
  <c r="GS76" i="1"/>
  <c r="GS75" i="1"/>
  <c r="GS62" i="1"/>
  <c r="GS61" i="1"/>
  <c r="GS60" i="1"/>
  <c r="GS59" i="1"/>
  <c r="GS58" i="1"/>
  <c r="GS45" i="1"/>
  <c r="GS44" i="1"/>
  <c r="GS43" i="1"/>
  <c r="GS42" i="1"/>
  <c r="GS41" i="1"/>
  <c r="GS28" i="1"/>
  <c r="GS27" i="1"/>
  <c r="GS26" i="1"/>
  <c r="GS25" i="1"/>
  <c r="GS24" i="1"/>
  <c r="GS11" i="1"/>
  <c r="GS10" i="1"/>
  <c r="GS9" i="1"/>
  <c r="GS8" i="1"/>
  <c r="GS7" i="1"/>
  <c r="OL96" i="1"/>
  <c r="OL95" i="1"/>
  <c r="OL94" i="1"/>
  <c r="OL93" i="1"/>
  <c r="OL92" i="1"/>
  <c r="OL79" i="1"/>
  <c r="OL78" i="1"/>
  <c r="OL77" i="1"/>
  <c r="OL76" i="1"/>
  <c r="OL75" i="1"/>
  <c r="OL62" i="1"/>
  <c r="OL61" i="1"/>
  <c r="OL60" i="1"/>
  <c r="OL59" i="1"/>
  <c r="OL58" i="1"/>
  <c r="OL45" i="1"/>
  <c r="OL44" i="1"/>
  <c r="OL43" i="1"/>
  <c r="OL42" i="1"/>
  <c r="OL41" i="1"/>
  <c r="OL28" i="1"/>
  <c r="OL27" i="1"/>
  <c r="OL26" i="1"/>
  <c r="OL25" i="1"/>
  <c r="OL24" i="1"/>
  <c r="OL11" i="1"/>
  <c r="OL10" i="1"/>
  <c r="OL9" i="1"/>
  <c r="OL8" i="1"/>
  <c r="OL7" i="1"/>
  <c r="G55" i="76"/>
  <c r="G45" i="76"/>
  <c r="I41" i="76"/>
  <c r="I43" i="76" s="1"/>
  <c r="G35" i="76"/>
  <c r="G25" i="76"/>
  <c r="G15" i="76"/>
  <c r="I7" i="76"/>
  <c r="I9" i="76" s="1"/>
  <c r="G5" i="76"/>
  <c r="G59" i="76"/>
  <c r="G57" i="76"/>
  <c r="G49" i="76"/>
  <c r="G47" i="76"/>
  <c r="G39" i="76"/>
  <c r="G37" i="76"/>
  <c r="G27" i="76"/>
  <c r="G19" i="76"/>
  <c r="G17" i="76"/>
  <c r="G9" i="76"/>
  <c r="G7" i="76"/>
  <c r="OK96" i="1"/>
  <c r="OK95" i="1"/>
  <c r="OK94" i="1"/>
  <c r="OK93" i="1"/>
  <c r="OK92" i="1"/>
  <c r="OK79" i="1"/>
  <c r="OK78" i="1"/>
  <c r="OK77" i="1"/>
  <c r="OK76" i="1"/>
  <c r="OK75" i="1"/>
  <c r="OK62" i="1"/>
  <c r="OK61" i="1"/>
  <c r="OK60" i="1"/>
  <c r="OK59" i="1"/>
  <c r="OK58" i="1"/>
  <c r="OK45" i="1"/>
  <c r="OK44" i="1"/>
  <c r="OK43" i="1"/>
  <c r="OK42" i="1"/>
  <c r="OK41" i="1"/>
  <c r="OK28" i="1"/>
  <c r="OK27" i="1"/>
  <c r="OK26" i="1"/>
  <c r="OK25" i="1"/>
  <c r="OK24" i="1"/>
  <c r="OK11" i="1"/>
  <c r="OK10" i="1"/>
  <c r="OK9" i="1"/>
  <c r="OK8" i="1"/>
  <c r="OK7" i="1"/>
  <c r="G55" i="75"/>
  <c r="G45" i="75"/>
  <c r="I9" i="75"/>
  <c r="I7" i="75"/>
  <c r="I43" i="75"/>
  <c r="I41" i="75"/>
  <c r="G35" i="75"/>
  <c r="G25" i="75"/>
  <c r="G15" i="75"/>
  <c r="G5" i="75"/>
  <c r="G59" i="75"/>
  <c r="G57" i="75"/>
  <c r="G49" i="75"/>
  <c r="G47" i="75"/>
  <c r="G39" i="75"/>
  <c r="G37" i="75"/>
  <c r="G27" i="75"/>
  <c r="G19" i="75"/>
  <c r="G17" i="75"/>
  <c r="G9" i="75"/>
  <c r="G7" i="75"/>
  <c r="OJ96" i="1"/>
  <c r="OJ95" i="1"/>
  <c r="OJ94" i="1"/>
  <c r="OJ93" i="1"/>
  <c r="OJ92" i="1"/>
  <c r="OJ79" i="1"/>
  <c r="OJ78" i="1"/>
  <c r="OJ77" i="1"/>
  <c r="OJ76" i="1"/>
  <c r="OJ75" i="1"/>
  <c r="OJ62" i="1"/>
  <c r="OJ61" i="1"/>
  <c r="OJ60" i="1"/>
  <c r="OJ59" i="1"/>
  <c r="OJ58" i="1"/>
  <c r="OJ45" i="1"/>
  <c r="OJ44" i="1"/>
  <c r="OJ43" i="1"/>
  <c r="OJ42" i="1"/>
  <c r="OJ41" i="1"/>
  <c r="OJ28" i="1"/>
  <c r="OJ27" i="1"/>
  <c r="OJ26" i="1"/>
  <c r="OJ25" i="1"/>
  <c r="OJ24" i="1"/>
  <c r="OJ11" i="1"/>
  <c r="OJ10" i="1"/>
  <c r="OJ9" i="1"/>
  <c r="OJ8" i="1"/>
  <c r="OJ7" i="1"/>
  <c r="G55" i="74"/>
  <c r="G45" i="74"/>
  <c r="G35" i="74"/>
  <c r="G25" i="74"/>
  <c r="G15" i="74"/>
  <c r="G5" i="74"/>
  <c r="G59" i="74"/>
  <c r="G57" i="74"/>
  <c r="G49" i="74"/>
  <c r="G47" i="74"/>
  <c r="G39" i="74"/>
  <c r="G37" i="74"/>
  <c r="G27" i="74"/>
  <c r="G19" i="74"/>
  <c r="G17" i="74"/>
  <c r="G9" i="74"/>
  <c r="G7" i="74"/>
  <c r="OI96" i="1"/>
  <c r="OI95" i="1"/>
  <c r="OI94" i="1"/>
  <c r="OI93" i="1"/>
  <c r="OI92" i="1"/>
  <c r="OI79" i="1"/>
  <c r="OI78" i="1"/>
  <c r="OI77" i="1"/>
  <c r="OI76" i="1"/>
  <c r="OI75" i="1"/>
  <c r="OI62" i="1"/>
  <c r="OI61" i="1"/>
  <c r="OI60" i="1"/>
  <c r="OI59" i="1"/>
  <c r="OI58" i="1"/>
  <c r="OI45" i="1"/>
  <c r="OI44" i="1"/>
  <c r="OI43" i="1"/>
  <c r="OI42" i="1"/>
  <c r="OI41" i="1"/>
  <c r="OI28" i="1"/>
  <c r="OI27" i="1"/>
  <c r="OI26" i="1"/>
  <c r="OI25" i="1"/>
  <c r="OI24" i="1"/>
  <c r="OI11" i="1"/>
  <c r="OI10" i="1"/>
  <c r="OI9" i="1"/>
  <c r="OI8" i="1"/>
  <c r="OI7" i="1"/>
  <c r="G55" i="73"/>
  <c r="G45" i="73"/>
  <c r="G25" i="73"/>
  <c r="G35" i="73"/>
  <c r="G15" i="73"/>
  <c r="G5" i="73"/>
  <c r="G59" i="73"/>
  <c r="G57" i="73"/>
  <c r="G49" i="73"/>
  <c r="G47" i="73"/>
  <c r="G39" i="73"/>
  <c r="G37" i="73"/>
  <c r="G29" i="73"/>
  <c r="G27" i="73"/>
  <c r="G19" i="73"/>
  <c r="G17" i="73"/>
  <c r="G9" i="73"/>
  <c r="G7" i="73"/>
  <c r="OH96" i="1"/>
  <c r="OH95" i="1"/>
  <c r="OH94" i="1"/>
  <c r="OH93" i="1"/>
  <c r="OH92" i="1"/>
  <c r="OH79" i="1"/>
  <c r="OH78" i="1"/>
  <c r="OH77" i="1"/>
  <c r="OH76" i="1"/>
  <c r="OH75" i="1"/>
  <c r="OH62" i="1"/>
  <c r="OH61" i="1"/>
  <c r="OH60" i="1"/>
  <c r="OH59" i="1"/>
  <c r="OH58" i="1"/>
  <c r="OH45" i="1"/>
  <c r="OH44" i="1"/>
  <c r="OH43" i="1"/>
  <c r="OH42" i="1"/>
  <c r="OH41" i="1"/>
  <c r="OH28" i="1"/>
  <c r="OH27" i="1"/>
  <c r="OH26" i="1"/>
  <c r="OH25" i="1"/>
  <c r="OH24" i="1"/>
  <c r="OH11" i="1"/>
  <c r="OH10" i="1"/>
  <c r="OH9" i="1"/>
  <c r="OH8" i="1"/>
  <c r="OH7" i="1"/>
  <c r="G55" i="72"/>
  <c r="G45" i="72"/>
  <c r="G35" i="72"/>
  <c r="G25" i="72"/>
  <c r="G15" i="72"/>
  <c r="G5" i="72"/>
  <c r="G59" i="72"/>
  <c r="G57" i="72"/>
  <c r="G49" i="72"/>
  <c r="G47" i="72"/>
  <c r="G39" i="72"/>
  <c r="G37" i="72"/>
  <c r="G29" i="72"/>
  <c r="G27" i="72"/>
  <c r="G19" i="72"/>
  <c r="G17" i="72"/>
  <c r="G9" i="72"/>
  <c r="G7" i="72"/>
  <c r="OG96" i="1"/>
  <c r="OG95" i="1"/>
  <c r="OG94" i="1"/>
  <c r="OG93" i="1"/>
  <c r="OG92" i="1"/>
  <c r="OG79" i="1"/>
  <c r="OG78" i="1"/>
  <c r="OG77" i="1"/>
  <c r="OG76" i="1"/>
  <c r="OG75" i="1"/>
  <c r="OG62" i="1"/>
  <c r="OG61" i="1"/>
  <c r="OG60" i="1"/>
  <c r="OG59" i="1"/>
  <c r="OG58" i="1"/>
  <c r="OG45" i="1"/>
  <c r="OG44" i="1"/>
  <c r="OG43" i="1"/>
  <c r="OG42" i="1"/>
  <c r="OG41" i="1"/>
  <c r="OG28" i="1"/>
  <c r="OG27" i="1"/>
  <c r="OG26" i="1"/>
  <c r="OG25" i="1"/>
  <c r="OG24" i="1"/>
  <c r="OG11" i="1"/>
  <c r="OG10" i="1"/>
  <c r="OG9" i="1"/>
  <c r="OG8" i="1"/>
  <c r="OG7" i="1"/>
  <c r="G55" i="71"/>
  <c r="G45" i="71"/>
  <c r="G35" i="71"/>
  <c r="G25" i="71"/>
  <c r="G15" i="71"/>
  <c r="G5" i="71"/>
  <c r="G59" i="71"/>
  <c r="G57" i="71"/>
  <c r="G49" i="71"/>
  <c r="G47" i="71"/>
  <c r="G39" i="71"/>
  <c r="G37" i="71"/>
  <c r="G29" i="71"/>
  <c r="G27" i="71"/>
  <c r="G19" i="71"/>
  <c r="G17" i="71"/>
  <c r="G9" i="71"/>
  <c r="G7" i="71"/>
  <c r="OF96" i="1"/>
  <c r="OF95" i="1"/>
  <c r="OF94" i="1"/>
  <c r="OF93" i="1"/>
  <c r="OF92" i="1"/>
  <c r="OF79" i="1"/>
  <c r="OF78" i="1"/>
  <c r="OF77" i="1"/>
  <c r="OF76" i="1"/>
  <c r="OF75" i="1"/>
  <c r="OF62" i="1"/>
  <c r="OF61" i="1"/>
  <c r="OF60" i="1"/>
  <c r="OF59" i="1"/>
  <c r="OF58" i="1"/>
  <c r="OF45" i="1"/>
  <c r="OF44" i="1"/>
  <c r="OF43" i="1"/>
  <c r="OF42" i="1"/>
  <c r="OF41" i="1"/>
  <c r="OF28" i="1"/>
  <c r="OF27" i="1"/>
  <c r="OF26" i="1"/>
  <c r="OF25" i="1"/>
  <c r="OF24" i="1"/>
  <c r="OF11" i="1"/>
  <c r="OF10" i="1"/>
  <c r="OF9" i="1"/>
  <c r="OF8" i="1"/>
  <c r="OF7" i="1"/>
  <c r="G55" i="70"/>
  <c r="G45" i="70"/>
  <c r="G35" i="70"/>
  <c r="G25" i="70"/>
  <c r="G15" i="70"/>
  <c r="G5" i="70"/>
  <c r="G59" i="70"/>
  <c r="G57" i="70"/>
  <c r="G49" i="70"/>
  <c r="G47" i="70"/>
  <c r="G39" i="70"/>
  <c r="G37" i="70"/>
  <c r="G29" i="70"/>
  <c r="G27" i="70"/>
  <c r="G19" i="70"/>
  <c r="G17" i="70"/>
  <c r="G9" i="70"/>
  <c r="G7" i="70"/>
  <c r="OE96" i="1"/>
  <c r="OE95" i="1"/>
  <c r="OE94" i="1"/>
  <c r="OE93" i="1"/>
  <c r="OE92" i="1"/>
  <c r="OE79" i="1"/>
  <c r="OE78" i="1"/>
  <c r="OE77" i="1"/>
  <c r="OE76" i="1"/>
  <c r="OE75" i="1"/>
  <c r="OE62" i="1"/>
  <c r="OE61" i="1"/>
  <c r="OE60" i="1"/>
  <c r="OE59" i="1"/>
  <c r="OE58" i="1"/>
  <c r="OE45" i="1"/>
  <c r="OE44" i="1"/>
  <c r="OE43" i="1"/>
  <c r="OE42" i="1"/>
  <c r="OE41" i="1"/>
  <c r="OE28" i="1"/>
  <c r="OE27" i="1"/>
  <c r="OE26" i="1"/>
  <c r="OE25" i="1"/>
  <c r="OE24" i="1"/>
  <c r="OE11" i="1"/>
  <c r="OE10" i="1"/>
  <c r="OE9" i="1"/>
  <c r="OE8" i="1"/>
  <c r="OE7" i="1"/>
  <c r="G35" i="69"/>
  <c r="G25" i="69"/>
  <c r="G15" i="69"/>
  <c r="G59" i="69"/>
  <c r="G57" i="69"/>
  <c r="G49" i="69"/>
  <c r="G47" i="69"/>
  <c r="G39" i="69"/>
  <c r="G37" i="69"/>
  <c r="G29" i="69"/>
  <c r="G27" i="69"/>
  <c r="G19" i="69"/>
  <c r="G17" i="69"/>
  <c r="G9" i="69"/>
  <c r="G7" i="69"/>
  <c r="OD96" i="1"/>
  <c r="OD95" i="1"/>
  <c r="OD94" i="1"/>
  <c r="OD93" i="1"/>
  <c r="OD92" i="1"/>
  <c r="OD79" i="1"/>
  <c r="OD78" i="1"/>
  <c r="OD77" i="1"/>
  <c r="OD76" i="1"/>
  <c r="OD75" i="1"/>
  <c r="OD62" i="1"/>
  <c r="OD61" i="1"/>
  <c r="OD60" i="1"/>
  <c r="OD59" i="1"/>
  <c r="OD58" i="1"/>
  <c r="OD45" i="1"/>
  <c r="OD44" i="1"/>
  <c r="OD43" i="1"/>
  <c r="OD42" i="1"/>
  <c r="OD41" i="1"/>
  <c r="OD28" i="1"/>
  <c r="OD27" i="1"/>
  <c r="OD26" i="1"/>
  <c r="OD25" i="1"/>
  <c r="OD24" i="1"/>
  <c r="OD11" i="1"/>
  <c r="OD10" i="1"/>
  <c r="OD9" i="1"/>
  <c r="OD8" i="1"/>
  <c r="OD7" i="1"/>
  <c r="G55" i="68"/>
  <c r="G45" i="68"/>
  <c r="G35" i="68"/>
  <c r="G25" i="68"/>
  <c r="G15" i="68"/>
  <c r="G5" i="68"/>
  <c r="G59" i="68"/>
  <c r="G57" i="68"/>
  <c r="G49" i="68"/>
  <c r="G47" i="68"/>
  <c r="G39" i="68"/>
  <c r="G37" i="68"/>
  <c r="G29" i="68"/>
  <c r="G27" i="68"/>
  <c r="G19" i="68"/>
  <c r="G17" i="68"/>
  <c r="G9" i="68"/>
  <c r="G7" i="68"/>
  <c r="OC96" i="1"/>
  <c r="OC95" i="1"/>
  <c r="OC94" i="1"/>
  <c r="OC93" i="1"/>
  <c r="OC92" i="1"/>
  <c r="OC79" i="1"/>
  <c r="OC78" i="1"/>
  <c r="OC77" i="1"/>
  <c r="OC76" i="1"/>
  <c r="OC75" i="1"/>
  <c r="OC62" i="1"/>
  <c r="OC61" i="1"/>
  <c r="OC60" i="1"/>
  <c r="OC59" i="1"/>
  <c r="OC58" i="1"/>
  <c r="OC45" i="1"/>
  <c r="OC44" i="1"/>
  <c r="OC43" i="1"/>
  <c r="OC42" i="1"/>
  <c r="OC41" i="1"/>
  <c r="OC28" i="1"/>
  <c r="OC27" i="1"/>
  <c r="OC26" i="1"/>
  <c r="OC25" i="1"/>
  <c r="OC24" i="1"/>
  <c r="OC11" i="1"/>
  <c r="OC10" i="1"/>
  <c r="OC9" i="1"/>
  <c r="OC8" i="1"/>
  <c r="OC7" i="1"/>
  <c r="G55" i="67"/>
  <c r="G45" i="67"/>
  <c r="G35" i="67"/>
  <c r="G25" i="67"/>
  <c r="G15" i="67"/>
  <c r="G5" i="67"/>
  <c r="G59" i="67"/>
  <c r="G57" i="67"/>
  <c r="G49" i="67"/>
  <c r="G47" i="67"/>
  <c r="G39" i="67"/>
  <c r="G37" i="67"/>
  <c r="G29" i="67"/>
  <c r="G27" i="67"/>
  <c r="G19" i="67"/>
  <c r="G17" i="67"/>
  <c r="G9" i="67"/>
  <c r="G7" i="67"/>
  <c r="G55" i="66"/>
  <c r="G45" i="66"/>
  <c r="G35" i="66"/>
  <c r="G25" i="66"/>
  <c r="G15" i="66"/>
  <c r="G5" i="66"/>
  <c r="G59" i="66"/>
  <c r="G57" i="66"/>
  <c r="G49" i="66"/>
  <c r="G47" i="66"/>
  <c r="G39" i="66"/>
  <c r="G37" i="66"/>
  <c r="G29" i="66"/>
  <c r="G27" i="66"/>
  <c r="G19" i="66"/>
  <c r="G17" i="66"/>
  <c r="G9" i="66"/>
  <c r="G7" i="66"/>
  <c r="OB96" i="1"/>
  <c r="OB95" i="1"/>
  <c r="OB94" i="1"/>
  <c r="OB93" i="1"/>
  <c r="OB92" i="1"/>
  <c r="OB79" i="1"/>
  <c r="OB78" i="1"/>
  <c r="OB77" i="1"/>
  <c r="OB76" i="1"/>
  <c r="OB75" i="1"/>
  <c r="OB62" i="1"/>
  <c r="OB61" i="1"/>
  <c r="OB60" i="1"/>
  <c r="OB59" i="1"/>
  <c r="OB58" i="1"/>
  <c r="OB45" i="1"/>
  <c r="OB44" i="1"/>
  <c r="OB43" i="1"/>
  <c r="OB42" i="1"/>
  <c r="OB41" i="1"/>
  <c r="OB28" i="1"/>
  <c r="OB27" i="1"/>
  <c r="OB26" i="1"/>
  <c r="OB25" i="1"/>
  <c r="OB24" i="1"/>
  <c r="OB11" i="1"/>
  <c r="OB10" i="1"/>
  <c r="OB9" i="1"/>
  <c r="OB8" i="1"/>
  <c r="OB7" i="1"/>
  <c r="OA96" i="1"/>
  <c r="OA95" i="1"/>
  <c r="OA94" i="1"/>
  <c r="OA93" i="1"/>
  <c r="OA92" i="1"/>
  <c r="OA79" i="1"/>
  <c r="OA78" i="1"/>
  <c r="OA77" i="1"/>
  <c r="OA76" i="1"/>
  <c r="OA75" i="1"/>
  <c r="OA62" i="1"/>
  <c r="OA61" i="1"/>
  <c r="OA60" i="1"/>
  <c r="OA59" i="1"/>
  <c r="OA58" i="1"/>
  <c r="OA45" i="1"/>
  <c r="OA44" i="1"/>
  <c r="OA43" i="1"/>
  <c r="OA42" i="1"/>
  <c r="OA41" i="1"/>
  <c r="OA28" i="1"/>
  <c r="OA27" i="1"/>
  <c r="OA26" i="1"/>
  <c r="OA25" i="1"/>
  <c r="OA24" i="1"/>
  <c r="OA11" i="1"/>
  <c r="OA10" i="1"/>
  <c r="OA9" i="1"/>
  <c r="OA8" i="1"/>
  <c r="OA7" i="1"/>
  <c r="G55" i="65"/>
  <c r="G45" i="65"/>
  <c r="G35" i="65"/>
  <c r="G25" i="65"/>
  <c r="G15" i="65"/>
  <c r="G5" i="65"/>
  <c r="G59" i="65"/>
  <c r="G57" i="65"/>
  <c r="G49" i="65"/>
  <c r="G47" i="65"/>
  <c r="G39" i="65"/>
  <c r="G37" i="65"/>
  <c r="G29" i="65"/>
  <c r="G27" i="65"/>
  <c r="G19" i="65"/>
  <c r="G17" i="65"/>
  <c r="G9" i="65"/>
  <c r="G7" i="65"/>
  <c r="NZ96" i="1"/>
  <c r="NZ95" i="1"/>
  <c r="NZ94" i="1"/>
  <c r="NZ93" i="1"/>
  <c r="NZ92" i="1"/>
  <c r="NZ79" i="1"/>
  <c r="NZ78" i="1"/>
  <c r="NZ77" i="1"/>
  <c r="NZ76" i="1"/>
  <c r="NZ75" i="1"/>
  <c r="NZ62" i="1"/>
  <c r="NZ61" i="1"/>
  <c r="NZ60" i="1"/>
  <c r="NZ59" i="1"/>
  <c r="NZ58" i="1"/>
  <c r="NZ45" i="1"/>
  <c r="NZ44" i="1"/>
  <c r="NZ43" i="1"/>
  <c r="NZ42" i="1"/>
  <c r="NZ41" i="1"/>
  <c r="NZ28" i="1"/>
  <c r="NZ27" i="1"/>
  <c r="NZ26" i="1"/>
  <c r="NZ25" i="1"/>
  <c r="NZ24" i="1"/>
  <c r="NZ11" i="1"/>
  <c r="NZ10" i="1"/>
  <c r="NZ9" i="1"/>
  <c r="NZ8" i="1"/>
  <c r="NZ7" i="1"/>
  <c r="G55" i="64"/>
  <c r="G45" i="64"/>
  <c r="G35" i="64"/>
  <c r="G25" i="64"/>
  <c r="G15" i="64"/>
  <c r="G5" i="64"/>
  <c r="G59" i="64"/>
  <c r="G57" i="64"/>
  <c r="G49" i="64"/>
  <c r="G47" i="64"/>
  <c r="G39" i="64"/>
  <c r="G37" i="64"/>
  <c r="G29" i="64"/>
  <c r="G27" i="64"/>
  <c r="G19" i="64"/>
  <c r="G17" i="64"/>
  <c r="G9" i="64"/>
  <c r="G7" i="64"/>
  <c r="NY96" i="1"/>
  <c r="NY95" i="1"/>
  <c r="NY94" i="1"/>
  <c r="NY93" i="1"/>
  <c r="NY92" i="1"/>
  <c r="NY79" i="1"/>
  <c r="NY78" i="1"/>
  <c r="NY77" i="1"/>
  <c r="NY76" i="1"/>
  <c r="NY75" i="1"/>
  <c r="NY62" i="1"/>
  <c r="NY61" i="1"/>
  <c r="NY60" i="1"/>
  <c r="NY59" i="1"/>
  <c r="NY58" i="1"/>
  <c r="NY45" i="1"/>
  <c r="NY44" i="1"/>
  <c r="NY43" i="1"/>
  <c r="NY42" i="1"/>
  <c r="NY41" i="1"/>
  <c r="NY28" i="1"/>
  <c r="NY27" i="1"/>
  <c r="NY26" i="1"/>
  <c r="NY25" i="1"/>
  <c r="NY24" i="1"/>
  <c r="NY11" i="1"/>
  <c r="NY10" i="1"/>
  <c r="NY9" i="1"/>
  <c r="NY8" i="1"/>
  <c r="NY7" i="1"/>
  <c r="G55" i="63"/>
  <c r="G45" i="63"/>
  <c r="G35" i="63"/>
  <c r="G25" i="63"/>
  <c r="G15" i="63"/>
  <c r="G5" i="63"/>
  <c r="G59" i="63"/>
  <c r="G57" i="63"/>
  <c r="G49" i="63"/>
  <c r="G47" i="63"/>
  <c r="G39" i="63"/>
  <c r="G37" i="63"/>
  <c r="G29" i="63"/>
  <c r="G27" i="63"/>
  <c r="G19" i="63"/>
  <c r="G17" i="63"/>
  <c r="G9" i="63"/>
  <c r="G7" i="63"/>
  <c r="NX96" i="1"/>
  <c r="NX95" i="1"/>
  <c r="NX94" i="1"/>
  <c r="NX93" i="1"/>
  <c r="NX92" i="1"/>
  <c r="NX79" i="1"/>
  <c r="NX78" i="1"/>
  <c r="NX77" i="1"/>
  <c r="NX76" i="1"/>
  <c r="NX75" i="1"/>
  <c r="NX62" i="1"/>
  <c r="NX61" i="1"/>
  <c r="NX60" i="1"/>
  <c r="NX59" i="1"/>
  <c r="NX58" i="1"/>
  <c r="NX45" i="1"/>
  <c r="NX44" i="1"/>
  <c r="NX43" i="1"/>
  <c r="NX42" i="1"/>
  <c r="NX41" i="1"/>
  <c r="NX28" i="1"/>
  <c r="NX27" i="1"/>
  <c r="NX26" i="1"/>
  <c r="NX25" i="1"/>
  <c r="NX24" i="1"/>
  <c r="NX11" i="1"/>
  <c r="NX10" i="1"/>
  <c r="NX9" i="1"/>
  <c r="NX8" i="1"/>
  <c r="NX7" i="1"/>
  <c r="G45" i="62"/>
  <c r="G35" i="62"/>
  <c r="G25" i="62"/>
  <c r="G15" i="62"/>
  <c r="G5" i="62"/>
  <c r="G59" i="62"/>
  <c r="G57" i="62"/>
  <c r="G55" i="62"/>
  <c r="G49" i="62"/>
  <c r="G47" i="62"/>
  <c r="G39" i="62"/>
  <c r="G37" i="62"/>
  <c r="G29" i="62"/>
  <c r="G27" i="62"/>
  <c r="G19" i="62"/>
  <c r="G17" i="62"/>
  <c r="G9" i="62"/>
  <c r="G7" i="62"/>
  <c r="NW96" i="1"/>
  <c r="NW95" i="1"/>
  <c r="NW94" i="1"/>
  <c r="NW93" i="1"/>
  <c r="NW92" i="1"/>
  <c r="NW79" i="1"/>
  <c r="NW78" i="1"/>
  <c r="NW77" i="1"/>
  <c r="NW76" i="1"/>
  <c r="NW75" i="1"/>
  <c r="NW62" i="1"/>
  <c r="NW61" i="1"/>
  <c r="NW60" i="1"/>
  <c r="NW59" i="1"/>
  <c r="NW58" i="1"/>
  <c r="NW45" i="1"/>
  <c r="NW44" i="1"/>
  <c r="NW43" i="1"/>
  <c r="NW42" i="1"/>
  <c r="NW41" i="1"/>
  <c r="NW28" i="1"/>
  <c r="NW27" i="1"/>
  <c r="NW26" i="1"/>
  <c r="NW25" i="1"/>
  <c r="NW24" i="1"/>
  <c r="NW11" i="1"/>
  <c r="NW10" i="1"/>
  <c r="NW9" i="1"/>
  <c r="NW8" i="1"/>
  <c r="NW7" i="1"/>
  <c r="G55" i="61"/>
  <c r="G45" i="61"/>
  <c r="G35" i="61"/>
  <c r="G25" i="61"/>
  <c r="G15" i="61"/>
  <c r="G5" i="61"/>
  <c r="G59" i="61"/>
  <c r="G57" i="61"/>
  <c r="G49" i="61"/>
  <c r="G47" i="61"/>
  <c r="G39" i="61"/>
  <c r="G37" i="61"/>
  <c r="G29" i="61"/>
  <c r="G27" i="61"/>
  <c r="G19" i="61"/>
  <c r="G17" i="61"/>
  <c r="G9" i="61"/>
  <c r="G7" i="61"/>
  <c r="NV96" i="1"/>
  <c r="NV95" i="1"/>
  <c r="NV94" i="1"/>
  <c r="NV93" i="1"/>
  <c r="NV92" i="1"/>
  <c r="NV79" i="1"/>
  <c r="NV78" i="1"/>
  <c r="NV77" i="1"/>
  <c r="NV76" i="1"/>
  <c r="NV75" i="1"/>
  <c r="NV62" i="1"/>
  <c r="NV61" i="1"/>
  <c r="NV60" i="1"/>
  <c r="NV59" i="1"/>
  <c r="NV58" i="1"/>
  <c r="NV45" i="1"/>
  <c r="NV44" i="1"/>
  <c r="NV43" i="1"/>
  <c r="NV42" i="1"/>
  <c r="NV41" i="1"/>
  <c r="NV28" i="1"/>
  <c r="NV27" i="1"/>
  <c r="NV26" i="1"/>
  <c r="NV25" i="1"/>
  <c r="NV24" i="1"/>
  <c r="NV11" i="1"/>
  <c r="NV10" i="1"/>
  <c r="NV9" i="1"/>
  <c r="NV8" i="1"/>
  <c r="NV7" i="1"/>
  <c r="G55" i="60"/>
  <c r="G45" i="60"/>
  <c r="G35" i="60"/>
  <c r="G25" i="60"/>
  <c r="G15" i="60"/>
  <c r="G5" i="60"/>
  <c r="G59" i="60"/>
  <c r="G57" i="60"/>
  <c r="G49" i="60"/>
  <c r="G47" i="60"/>
  <c r="G39" i="60"/>
  <c r="G37" i="60"/>
  <c r="G29" i="60"/>
  <c r="G27" i="60"/>
  <c r="G19" i="60"/>
  <c r="G17" i="60"/>
  <c r="G9" i="60"/>
  <c r="G7" i="60"/>
  <c r="NU96" i="1"/>
  <c r="NU95" i="1"/>
  <c r="NU94" i="1"/>
  <c r="NU93" i="1"/>
  <c r="NU92" i="1"/>
  <c r="NU79" i="1"/>
  <c r="NU78" i="1"/>
  <c r="NU77" i="1"/>
  <c r="NU76" i="1"/>
  <c r="NU75" i="1"/>
  <c r="NU62" i="1"/>
  <c r="NU61" i="1"/>
  <c r="NU60" i="1"/>
  <c r="NU59" i="1"/>
  <c r="NU58" i="1"/>
  <c r="NU45" i="1"/>
  <c r="NU44" i="1"/>
  <c r="NU43" i="1"/>
  <c r="NU42" i="1"/>
  <c r="NU41" i="1"/>
  <c r="NU28" i="1"/>
  <c r="NU27" i="1"/>
  <c r="NU26" i="1"/>
  <c r="NU25" i="1"/>
  <c r="NU24" i="1"/>
  <c r="NU11" i="1"/>
  <c r="NU10" i="1"/>
  <c r="NU9" i="1"/>
  <c r="NU8" i="1"/>
  <c r="NU7" i="1"/>
  <c r="G55" i="59"/>
  <c r="G45" i="59"/>
  <c r="G35" i="59"/>
  <c r="G25" i="59"/>
  <c r="G15" i="59"/>
  <c r="G5" i="59"/>
  <c r="G59" i="59"/>
  <c r="G57" i="59"/>
  <c r="G49" i="59"/>
  <c r="G47" i="59"/>
  <c r="G39" i="59"/>
  <c r="G37" i="59"/>
  <c r="G29" i="59"/>
  <c r="G27" i="59"/>
  <c r="G19" i="59"/>
  <c r="G17" i="59"/>
  <c r="G9" i="59"/>
  <c r="G7" i="59"/>
  <c r="NT96" i="1"/>
  <c r="NT95" i="1"/>
  <c r="NT94" i="1"/>
  <c r="NT93" i="1"/>
  <c r="NT92" i="1"/>
  <c r="NT79" i="1"/>
  <c r="NT78" i="1"/>
  <c r="NT77" i="1"/>
  <c r="NT76" i="1"/>
  <c r="NT75" i="1"/>
  <c r="NT62" i="1"/>
  <c r="NT61" i="1"/>
  <c r="NT60" i="1"/>
  <c r="NT59" i="1"/>
  <c r="NT58" i="1"/>
  <c r="NT45" i="1"/>
  <c r="NT44" i="1"/>
  <c r="NT43" i="1"/>
  <c r="NT42" i="1"/>
  <c r="NT41" i="1"/>
  <c r="NT28" i="1"/>
  <c r="NT27" i="1"/>
  <c r="NT26" i="1"/>
  <c r="NT25" i="1"/>
  <c r="NT24" i="1"/>
  <c r="NT11" i="1"/>
  <c r="NT10" i="1"/>
  <c r="NT9" i="1"/>
  <c r="NT8" i="1"/>
  <c r="NT7" i="1"/>
  <c r="G55" i="58"/>
  <c r="G45" i="58"/>
  <c r="G47" i="58"/>
  <c r="G25" i="58"/>
  <c r="G35" i="58"/>
  <c r="G15" i="58"/>
  <c r="G5" i="58"/>
  <c r="G59" i="58"/>
  <c r="G57" i="58"/>
  <c r="G49" i="58"/>
  <c r="G39" i="58"/>
  <c r="G37" i="58"/>
  <c r="G29" i="58"/>
  <c r="G27" i="58"/>
  <c r="G19" i="58"/>
  <c r="G17" i="58"/>
  <c r="G9" i="58"/>
  <c r="G7" i="58"/>
  <c r="G55" i="57"/>
  <c r="G45" i="57"/>
  <c r="G35" i="57"/>
  <c r="G25" i="57"/>
  <c r="G15" i="57"/>
  <c r="G5" i="57"/>
  <c r="G59" i="57"/>
  <c r="G57" i="57"/>
  <c r="G49" i="57"/>
  <c r="G47" i="57"/>
  <c r="G39" i="57"/>
  <c r="G37" i="57"/>
  <c r="G29" i="57"/>
  <c r="G27" i="57"/>
  <c r="G19" i="57"/>
  <c r="G17" i="57"/>
  <c r="G9" i="57"/>
  <c r="G7" i="57"/>
  <c r="NS96" i="1"/>
  <c r="NS95" i="1"/>
  <c r="NS94" i="1"/>
  <c r="NS93" i="1"/>
  <c r="NS92" i="1"/>
  <c r="NS79" i="1"/>
  <c r="NS78" i="1"/>
  <c r="NS77" i="1"/>
  <c r="NS76" i="1"/>
  <c r="NS75" i="1"/>
  <c r="NS62" i="1"/>
  <c r="NS61" i="1"/>
  <c r="NS60" i="1"/>
  <c r="NS59" i="1"/>
  <c r="NS58" i="1"/>
  <c r="NS45" i="1"/>
  <c r="NS44" i="1"/>
  <c r="NS43" i="1"/>
  <c r="NS42" i="1"/>
  <c r="NS41" i="1"/>
  <c r="NS28" i="1"/>
  <c r="NS27" i="1"/>
  <c r="NS26" i="1"/>
  <c r="NS25" i="1"/>
  <c r="NS24" i="1"/>
  <c r="NS11" i="1"/>
  <c r="NS10" i="1"/>
  <c r="NS9" i="1"/>
  <c r="NS8" i="1"/>
  <c r="NS7" i="1"/>
  <c r="NR96" i="1"/>
  <c r="NR95" i="1"/>
  <c r="NR94" i="1"/>
  <c r="NR93" i="1"/>
  <c r="NR92" i="1"/>
  <c r="NR79" i="1"/>
  <c r="NR78" i="1"/>
  <c r="NR77" i="1"/>
  <c r="NR76" i="1"/>
  <c r="NR75" i="1"/>
  <c r="NR62" i="1"/>
  <c r="NR61" i="1"/>
  <c r="NR60" i="1"/>
  <c r="NR59" i="1"/>
  <c r="NR58" i="1"/>
  <c r="NR45" i="1"/>
  <c r="NR44" i="1"/>
  <c r="NR43" i="1"/>
  <c r="NR42" i="1"/>
  <c r="NR41" i="1"/>
  <c r="NR28" i="1"/>
  <c r="NR27" i="1"/>
  <c r="NR26" i="1"/>
  <c r="NR25" i="1"/>
  <c r="NR24" i="1"/>
  <c r="NR11" i="1"/>
  <c r="NR10" i="1"/>
  <c r="NR9" i="1"/>
  <c r="NR8" i="1"/>
  <c r="NR7" i="1"/>
  <c r="G55" i="56"/>
  <c r="G45" i="56"/>
  <c r="G35" i="56"/>
  <c r="G25" i="56"/>
  <c r="G15" i="56"/>
  <c r="G5" i="56"/>
  <c r="G59" i="56"/>
  <c r="G57" i="56"/>
  <c r="G49" i="56"/>
  <c r="G47" i="56"/>
  <c r="G39" i="56"/>
  <c r="G37" i="56"/>
  <c r="G29" i="56"/>
  <c r="G27" i="56"/>
  <c r="G19" i="56"/>
  <c r="G17" i="56"/>
  <c r="G9" i="56"/>
  <c r="G7" i="56"/>
  <c r="NQ96" i="1"/>
  <c r="NQ95" i="1"/>
  <c r="NQ94" i="1"/>
  <c r="NQ93" i="1"/>
  <c r="NQ92" i="1"/>
  <c r="NQ79" i="1"/>
  <c r="NQ78" i="1"/>
  <c r="NQ77" i="1"/>
  <c r="NQ76" i="1"/>
  <c r="NQ75" i="1"/>
  <c r="NQ62" i="1"/>
  <c r="NQ61" i="1"/>
  <c r="NQ60" i="1"/>
  <c r="NQ59" i="1"/>
  <c r="NQ58" i="1"/>
  <c r="NQ45" i="1"/>
  <c r="NQ44" i="1"/>
  <c r="NQ43" i="1"/>
  <c r="NQ42" i="1"/>
  <c r="NQ41" i="1"/>
  <c r="NQ28" i="1"/>
  <c r="NQ27" i="1"/>
  <c r="NQ26" i="1"/>
  <c r="NQ25" i="1"/>
  <c r="NQ24" i="1"/>
  <c r="NQ11" i="1"/>
  <c r="NQ10" i="1"/>
  <c r="NQ9" i="1"/>
  <c r="NQ8" i="1"/>
  <c r="NQ7" i="1"/>
  <c r="G55" i="55"/>
  <c r="G45" i="55"/>
  <c r="G35" i="55"/>
  <c r="G25" i="55"/>
  <c r="G15" i="55"/>
  <c r="G59" i="55"/>
  <c r="G57" i="55"/>
  <c r="G49" i="55"/>
  <c r="G47" i="55"/>
  <c r="G39" i="55"/>
  <c r="G37" i="55"/>
  <c r="G29" i="55"/>
  <c r="G27" i="55"/>
  <c r="G19" i="55"/>
  <c r="G17" i="55"/>
  <c r="G9" i="55"/>
  <c r="G7" i="55"/>
  <c r="NP96" i="1"/>
  <c r="NP95" i="1"/>
  <c r="NP94" i="1"/>
  <c r="NP93" i="1"/>
  <c r="NP92" i="1"/>
  <c r="NP79" i="1"/>
  <c r="NP78" i="1"/>
  <c r="NP77" i="1"/>
  <c r="NP76" i="1"/>
  <c r="NP75" i="1"/>
  <c r="NP62" i="1"/>
  <c r="NP61" i="1"/>
  <c r="NP60" i="1"/>
  <c r="NP59" i="1"/>
  <c r="NP58" i="1"/>
  <c r="NP45" i="1"/>
  <c r="NP44" i="1"/>
  <c r="NP43" i="1"/>
  <c r="NP42" i="1"/>
  <c r="NP41" i="1"/>
  <c r="NP28" i="1"/>
  <c r="NP27" i="1"/>
  <c r="NP26" i="1"/>
  <c r="NP25" i="1"/>
  <c r="NP24" i="1"/>
  <c r="NP11" i="1"/>
  <c r="NP10" i="1"/>
  <c r="NP9" i="1"/>
  <c r="NP8" i="1"/>
  <c r="NP7" i="1"/>
  <c r="G55" i="54"/>
  <c r="G45" i="54"/>
  <c r="G35" i="54"/>
  <c r="G25" i="54"/>
  <c r="G15" i="54"/>
  <c r="G5" i="54"/>
  <c r="G59" i="54"/>
  <c r="G57" i="54"/>
  <c r="G49" i="54"/>
  <c r="G47" i="54"/>
  <c r="G39" i="54"/>
  <c r="G37" i="54"/>
  <c r="G29" i="54"/>
  <c r="G27" i="54"/>
  <c r="G19" i="54"/>
  <c r="G17" i="54"/>
  <c r="G9" i="54"/>
  <c r="G7" i="54"/>
  <c r="NO96" i="1"/>
  <c r="NO95" i="1"/>
  <c r="NO94" i="1"/>
  <c r="NO93" i="1"/>
  <c r="NO92" i="1"/>
  <c r="NO79" i="1"/>
  <c r="NO78" i="1"/>
  <c r="NO77" i="1"/>
  <c r="NO76" i="1"/>
  <c r="NO75" i="1"/>
  <c r="NO62" i="1"/>
  <c r="NO61" i="1"/>
  <c r="NO60" i="1"/>
  <c r="NO59" i="1"/>
  <c r="NO58" i="1"/>
  <c r="NO45" i="1"/>
  <c r="NO44" i="1"/>
  <c r="NO43" i="1"/>
  <c r="NO42" i="1"/>
  <c r="NO41" i="1"/>
  <c r="NO28" i="1"/>
  <c r="NO27" i="1"/>
  <c r="NO26" i="1"/>
  <c r="NO25" i="1"/>
  <c r="NO24" i="1"/>
  <c r="NO11" i="1"/>
  <c r="NO10" i="1"/>
  <c r="NO9" i="1"/>
  <c r="NO8" i="1"/>
  <c r="NO7" i="1"/>
  <c r="G55" i="53"/>
  <c r="G45" i="53"/>
  <c r="G35" i="53"/>
  <c r="G25" i="53"/>
  <c r="G15" i="53"/>
  <c r="G5" i="53"/>
  <c r="G59" i="53"/>
  <c r="G57" i="53"/>
  <c r="G49" i="53"/>
  <c r="G47" i="53"/>
  <c r="G39" i="53"/>
  <c r="G37" i="53"/>
  <c r="G29" i="53"/>
  <c r="G27" i="53"/>
  <c r="G19" i="53"/>
  <c r="G17" i="53"/>
  <c r="G9" i="53"/>
  <c r="G7" i="53"/>
  <c r="NN96" i="1"/>
  <c r="NN95" i="1"/>
  <c r="NN94" i="1"/>
  <c r="NN93" i="1"/>
  <c r="NN92" i="1"/>
  <c r="NN79" i="1"/>
  <c r="NN78" i="1"/>
  <c r="NN77" i="1"/>
  <c r="NN76" i="1"/>
  <c r="NN75" i="1"/>
  <c r="NN62" i="1"/>
  <c r="NN61" i="1"/>
  <c r="NN60" i="1"/>
  <c r="NN59" i="1"/>
  <c r="NN58" i="1"/>
  <c r="NN45" i="1"/>
  <c r="NN44" i="1"/>
  <c r="NN43" i="1"/>
  <c r="NN42" i="1"/>
  <c r="NN41" i="1"/>
  <c r="NN28" i="1"/>
  <c r="NN27" i="1"/>
  <c r="NN26" i="1"/>
  <c r="NN25" i="1"/>
  <c r="NN24" i="1"/>
  <c r="NN11" i="1"/>
  <c r="NN10" i="1"/>
  <c r="NN9" i="1"/>
  <c r="NN8" i="1"/>
  <c r="NN7" i="1"/>
  <c r="G55" i="52"/>
  <c r="G45" i="52"/>
  <c r="G35" i="52"/>
  <c r="G25" i="52"/>
  <c r="G15" i="52"/>
  <c r="G5" i="52"/>
  <c r="G59" i="52"/>
  <c r="G57" i="52"/>
  <c r="G49" i="52"/>
  <c r="G47" i="52"/>
  <c r="G39" i="52"/>
  <c r="G37" i="52"/>
  <c r="G29" i="52"/>
  <c r="G27" i="52"/>
  <c r="G19" i="52"/>
  <c r="G17" i="52"/>
  <c r="G9" i="52"/>
  <c r="G7" i="52"/>
  <c r="NM96" i="1"/>
  <c r="NM95" i="1"/>
  <c r="NM94" i="1"/>
  <c r="NM93" i="1"/>
  <c r="NM92" i="1"/>
  <c r="NM79" i="1"/>
  <c r="NM78" i="1"/>
  <c r="NM77" i="1"/>
  <c r="NM76" i="1"/>
  <c r="NM75" i="1"/>
  <c r="NM62" i="1"/>
  <c r="NM61" i="1"/>
  <c r="NM60" i="1"/>
  <c r="NM59" i="1"/>
  <c r="NM58" i="1"/>
  <c r="NM45" i="1"/>
  <c r="NM44" i="1"/>
  <c r="NM43" i="1"/>
  <c r="NM42" i="1"/>
  <c r="NM41" i="1"/>
  <c r="NM28" i="1"/>
  <c r="NM27" i="1"/>
  <c r="NM26" i="1"/>
  <c r="NM25" i="1"/>
  <c r="NM24" i="1"/>
  <c r="NM11" i="1"/>
  <c r="NM10" i="1"/>
  <c r="NM9" i="1"/>
  <c r="NM8" i="1"/>
  <c r="NM7" i="1"/>
  <c r="G55" i="51"/>
  <c r="G45" i="51"/>
  <c r="G35" i="51"/>
  <c r="G25" i="51"/>
  <c r="G15" i="51"/>
  <c r="G5" i="51"/>
  <c r="G59" i="51"/>
  <c r="G57" i="51"/>
  <c r="G49" i="51"/>
  <c r="G47" i="51"/>
  <c r="G39" i="51"/>
  <c r="G37" i="51"/>
  <c r="G29" i="51"/>
  <c r="G27" i="51"/>
  <c r="G19" i="51"/>
  <c r="G17" i="51"/>
  <c r="G9" i="51"/>
  <c r="G7" i="51"/>
  <c r="GZ95" i="2" l="1"/>
  <c r="HB7" i="2"/>
  <c r="HG10" i="2"/>
  <c r="GZ43" i="2"/>
  <c r="HB44" i="2"/>
  <c r="GZ77" i="2"/>
  <c r="HB78" i="2"/>
  <c r="GZ94" i="2"/>
  <c r="HB95" i="2"/>
  <c r="HB9" i="2"/>
  <c r="HB27" i="2"/>
  <c r="HF45" i="2"/>
  <c r="HA10" i="2"/>
  <c r="GY11" i="2"/>
  <c r="HG11" i="2"/>
  <c r="GX24" i="2"/>
  <c r="GW26" i="2"/>
  <c r="HG41" i="2"/>
  <c r="HB43" i="2"/>
  <c r="HB58" i="2"/>
  <c r="HG61" i="2"/>
  <c r="HG75" i="2"/>
  <c r="HB77" i="2"/>
  <c r="HB94" i="2"/>
  <c r="HE7" i="2"/>
  <c r="HD9" i="2"/>
  <c r="HG24" i="2"/>
  <c r="HB62" i="2"/>
  <c r="HH75" i="2"/>
  <c r="HG79" i="2"/>
  <c r="NL96" i="1"/>
  <c r="NL95" i="1"/>
  <c r="NL94" i="1"/>
  <c r="NL93" i="1"/>
  <c r="NL92" i="1"/>
  <c r="NL79" i="1"/>
  <c r="NL78" i="1"/>
  <c r="NL77" i="1"/>
  <c r="NL76" i="1"/>
  <c r="NL75" i="1"/>
  <c r="NL62" i="1"/>
  <c r="NL61" i="1"/>
  <c r="NL60" i="1"/>
  <c r="NL59" i="1"/>
  <c r="NL58" i="1"/>
  <c r="NL45" i="1"/>
  <c r="NL44" i="1"/>
  <c r="NL43" i="1"/>
  <c r="NL42" i="1"/>
  <c r="NL41" i="1"/>
  <c r="NL28" i="1"/>
  <c r="NL27" i="1"/>
  <c r="NL26" i="1"/>
  <c r="NL25" i="1"/>
  <c r="NL24" i="1"/>
  <c r="NL11" i="1"/>
  <c r="NL10" i="1"/>
  <c r="NL9" i="1"/>
  <c r="NL8" i="1"/>
  <c r="NL7" i="1"/>
  <c r="G55" i="50"/>
  <c r="G45" i="50"/>
  <c r="G35" i="50"/>
  <c r="G25" i="50"/>
  <c r="G15" i="50"/>
  <c r="G5" i="50"/>
  <c r="G59" i="50"/>
  <c r="G57" i="50"/>
  <c r="G49" i="50"/>
  <c r="G47" i="50"/>
  <c r="G39" i="50"/>
  <c r="G37" i="50"/>
  <c r="G29" i="50"/>
  <c r="G27" i="50"/>
  <c r="G19" i="50"/>
  <c r="G17" i="50"/>
  <c r="G9" i="50"/>
  <c r="G7" i="50"/>
  <c r="NK96" i="1"/>
  <c r="NK95" i="1"/>
  <c r="NK94" i="1"/>
  <c r="NK93" i="1"/>
  <c r="NK92" i="1"/>
  <c r="NK79" i="1"/>
  <c r="NK78" i="1"/>
  <c r="NK77" i="1"/>
  <c r="NK76" i="1"/>
  <c r="NK75" i="1"/>
  <c r="NK62" i="1"/>
  <c r="NK61" i="1"/>
  <c r="NK60" i="1"/>
  <c r="NK59" i="1"/>
  <c r="NK58" i="1"/>
  <c r="NK45" i="1"/>
  <c r="NK44" i="1"/>
  <c r="NK43" i="1"/>
  <c r="NK42" i="1"/>
  <c r="NK41" i="1"/>
  <c r="NK28" i="1"/>
  <c r="NK27" i="1"/>
  <c r="NK26" i="1"/>
  <c r="NK25" i="1"/>
  <c r="NK24" i="1"/>
  <c r="NK11" i="1"/>
  <c r="NK10" i="1"/>
  <c r="NK9" i="1"/>
  <c r="NK8" i="1"/>
  <c r="NK7" i="1"/>
  <c r="G55" i="49"/>
  <c r="G45" i="49"/>
  <c r="G35" i="49"/>
  <c r="G25" i="49"/>
  <c r="G15" i="49"/>
  <c r="G5" i="49"/>
  <c r="G59" i="49"/>
  <c r="G57" i="49"/>
  <c r="G49" i="49"/>
  <c r="G47" i="49"/>
  <c r="G39" i="49"/>
  <c r="G37" i="49"/>
  <c r="G29" i="49"/>
  <c r="G27" i="49"/>
  <c r="G19" i="49"/>
  <c r="G17" i="49"/>
  <c r="G9" i="49"/>
  <c r="G7" i="49"/>
  <c r="NJ96" i="1"/>
  <c r="NJ95" i="1"/>
  <c r="NJ94" i="1"/>
  <c r="NJ93" i="1"/>
  <c r="NJ92" i="1"/>
  <c r="NJ79" i="1"/>
  <c r="NJ78" i="1"/>
  <c r="NJ77" i="1"/>
  <c r="NJ76" i="1"/>
  <c r="NJ75" i="1"/>
  <c r="NJ62" i="1"/>
  <c r="NJ61" i="1"/>
  <c r="NJ60" i="1"/>
  <c r="NJ59" i="1"/>
  <c r="NJ58" i="1"/>
  <c r="NJ45" i="1"/>
  <c r="NJ44" i="1"/>
  <c r="NJ43" i="1"/>
  <c r="NJ42" i="1"/>
  <c r="NJ41" i="1"/>
  <c r="NJ28" i="1"/>
  <c r="NJ27" i="1"/>
  <c r="NJ26" i="1"/>
  <c r="NJ25" i="1"/>
  <c r="NJ24" i="1"/>
  <c r="NJ11" i="1"/>
  <c r="NJ10" i="1"/>
  <c r="NJ9" i="1"/>
  <c r="NJ8" i="1"/>
  <c r="NJ7" i="1"/>
  <c r="G55" i="48"/>
  <c r="G45" i="48"/>
  <c r="G35" i="48"/>
  <c r="G25" i="48"/>
  <c r="G15" i="48"/>
  <c r="G5" i="48"/>
  <c r="G59" i="48"/>
  <c r="G57" i="48"/>
  <c r="G49" i="48"/>
  <c r="G47" i="48"/>
  <c r="G39" i="48"/>
  <c r="G37" i="48"/>
  <c r="G29" i="48"/>
  <c r="G27" i="48"/>
  <c r="G19" i="48"/>
  <c r="G17" i="48"/>
  <c r="G9" i="48"/>
  <c r="G7" i="48"/>
  <c r="NI96" i="1"/>
  <c r="NI95" i="1"/>
  <c r="NI94" i="1"/>
  <c r="NI93" i="1"/>
  <c r="NI92" i="1"/>
  <c r="NI79" i="1"/>
  <c r="NI78" i="1"/>
  <c r="NI77" i="1"/>
  <c r="NI76" i="1"/>
  <c r="NI75" i="1"/>
  <c r="NI62" i="1"/>
  <c r="NI61" i="1"/>
  <c r="NI60" i="1"/>
  <c r="NI59" i="1"/>
  <c r="NI58" i="1"/>
  <c r="NI45" i="1"/>
  <c r="NI44" i="1"/>
  <c r="NI43" i="1"/>
  <c r="NI42" i="1"/>
  <c r="NI41" i="1"/>
  <c r="NI28" i="1"/>
  <c r="NI27" i="1"/>
  <c r="NI26" i="1"/>
  <c r="NI25" i="1"/>
  <c r="NI24" i="1"/>
  <c r="NI11" i="1"/>
  <c r="NI10" i="1"/>
  <c r="NI9" i="1"/>
  <c r="NI8" i="1"/>
  <c r="NI7" i="1"/>
  <c r="G55" i="47"/>
  <c r="G45" i="47"/>
  <c r="G35" i="47"/>
  <c r="G25" i="47"/>
  <c r="G15" i="47"/>
  <c r="G5" i="47"/>
  <c r="G59" i="47"/>
  <c r="G57" i="47"/>
  <c r="G49" i="47"/>
  <c r="G47" i="47"/>
  <c r="G39" i="47"/>
  <c r="G37" i="47"/>
  <c r="G29" i="47"/>
  <c r="G27" i="47"/>
  <c r="G19" i="47"/>
  <c r="G17" i="47"/>
  <c r="G9" i="47"/>
  <c r="G7" i="47"/>
  <c r="NH96" i="1"/>
  <c r="NH95" i="1"/>
  <c r="NH94" i="1"/>
  <c r="NH93" i="1"/>
  <c r="NH92" i="1"/>
  <c r="NH79" i="1"/>
  <c r="NH78" i="1"/>
  <c r="NH77" i="1"/>
  <c r="NH76" i="1"/>
  <c r="NH75" i="1"/>
  <c r="NH62" i="1"/>
  <c r="NH61" i="1"/>
  <c r="NH60" i="1"/>
  <c r="NH59" i="1"/>
  <c r="NH58" i="1"/>
  <c r="NH45" i="1"/>
  <c r="NH44" i="1"/>
  <c r="NH43" i="1"/>
  <c r="NH42" i="1"/>
  <c r="NH41" i="1"/>
  <c r="NH28" i="1"/>
  <c r="NH27" i="1"/>
  <c r="NH26" i="1"/>
  <c r="NH25" i="1"/>
  <c r="NH24" i="1"/>
  <c r="NH11" i="1"/>
  <c r="NH10" i="1"/>
  <c r="NH9" i="1"/>
  <c r="NH8" i="1"/>
  <c r="NH7" i="1"/>
  <c r="G55" i="46"/>
  <c r="G45" i="46"/>
  <c r="G35" i="46"/>
  <c r="G25" i="46"/>
  <c r="G15" i="46"/>
  <c r="G5" i="46"/>
  <c r="G59" i="46"/>
  <c r="G57" i="46"/>
  <c r="G49" i="46"/>
  <c r="G47" i="46"/>
  <c r="G39" i="46"/>
  <c r="G37" i="46"/>
  <c r="G29" i="46"/>
  <c r="G27" i="46"/>
  <c r="G19" i="46"/>
  <c r="G17" i="46"/>
  <c r="G9" i="46"/>
  <c r="G7" i="46"/>
  <c r="NG96" i="1"/>
  <c r="NG95" i="1"/>
  <c r="NG94" i="1"/>
  <c r="NG93" i="1"/>
  <c r="NG92" i="1"/>
  <c r="NG79" i="1"/>
  <c r="NG78" i="1"/>
  <c r="NG77" i="1"/>
  <c r="NG76" i="1"/>
  <c r="NG75" i="1"/>
  <c r="NG62" i="1"/>
  <c r="NG61" i="1"/>
  <c r="NG60" i="1"/>
  <c r="NG59" i="1"/>
  <c r="NG58" i="1"/>
  <c r="NG45" i="1"/>
  <c r="NG44" i="1"/>
  <c r="NG43" i="1"/>
  <c r="NG42" i="1"/>
  <c r="NG41" i="1"/>
  <c r="NG28" i="1"/>
  <c r="NG27" i="1"/>
  <c r="NG26" i="1"/>
  <c r="NG25" i="1"/>
  <c r="NG24" i="1"/>
  <c r="NG11" i="1"/>
  <c r="NG10" i="1"/>
  <c r="NG9" i="1"/>
  <c r="NG8" i="1"/>
  <c r="NG7" i="1"/>
  <c r="G55" i="45"/>
  <c r="G45" i="45"/>
  <c r="G35" i="45"/>
  <c r="G25" i="45"/>
  <c r="G15" i="45"/>
  <c r="G5" i="45"/>
  <c r="G59" i="45"/>
  <c r="G57" i="45"/>
  <c r="G49" i="45"/>
  <c r="G47" i="45"/>
  <c r="G39" i="45"/>
  <c r="G37" i="45"/>
  <c r="G29" i="45"/>
  <c r="G27" i="45"/>
  <c r="G19" i="45"/>
  <c r="G17" i="45"/>
  <c r="G9" i="45"/>
  <c r="G7" i="45"/>
  <c r="NF96" i="1"/>
  <c r="NF95" i="1"/>
  <c r="NF94" i="1"/>
  <c r="NF93" i="1"/>
  <c r="NF92" i="1"/>
  <c r="NF79" i="1"/>
  <c r="NF78" i="1"/>
  <c r="NF77" i="1"/>
  <c r="NF76" i="1"/>
  <c r="NF75" i="1"/>
  <c r="NF62" i="1"/>
  <c r="NF61" i="1"/>
  <c r="NF60" i="1"/>
  <c r="NF59" i="1"/>
  <c r="NF58" i="1"/>
  <c r="NF45" i="1"/>
  <c r="NF44" i="1"/>
  <c r="NF43" i="1"/>
  <c r="NF42" i="1"/>
  <c r="NF41" i="1"/>
  <c r="NF28" i="1"/>
  <c r="NF27" i="1"/>
  <c r="NF26" i="1"/>
  <c r="NF25" i="1"/>
  <c r="NF24" i="1"/>
  <c r="NF11" i="1"/>
  <c r="NF10" i="1"/>
  <c r="NF9" i="1"/>
  <c r="NF8" i="1"/>
  <c r="NF7" i="1"/>
  <c r="G55" i="44"/>
  <c r="G45" i="44"/>
  <c r="G35" i="44"/>
  <c r="G25" i="44"/>
  <c r="G15" i="44"/>
  <c r="G5" i="44"/>
  <c r="G59" i="44"/>
  <c r="G57" i="44"/>
  <c r="G49" i="44"/>
  <c r="G47" i="44"/>
  <c r="G39" i="44"/>
  <c r="G37" i="44"/>
  <c r="G29" i="44"/>
  <c r="G27" i="44"/>
  <c r="G19" i="44"/>
  <c r="G17" i="44"/>
  <c r="G9" i="44"/>
  <c r="G7" i="44"/>
  <c r="NE96" i="1"/>
  <c r="NE95" i="1"/>
  <c r="NE94" i="1"/>
  <c r="NE93" i="1"/>
  <c r="NE92" i="1"/>
  <c r="NE79" i="1"/>
  <c r="NE78" i="1"/>
  <c r="NE77" i="1"/>
  <c r="NE76" i="1"/>
  <c r="NE75" i="1"/>
  <c r="NE62" i="1"/>
  <c r="NE61" i="1"/>
  <c r="NE60" i="1"/>
  <c r="NE59" i="1"/>
  <c r="NE58" i="1"/>
  <c r="NE45" i="1"/>
  <c r="NE44" i="1"/>
  <c r="NE43" i="1"/>
  <c r="NE42" i="1"/>
  <c r="NE41" i="1"/>
  <c r="NE28" i="1"/>
  <c r="NE27" i="1"/>
  <c r="NE26" i="1"/>
  <c r="NE25" i="1"/>
  <c r="NE24" i="1"/>
  <c r="NE11" i="1"/>
  <c r="NE10" i="1"/>
  <c r="NE9" i="1"/>
  <c r="NE8" i="1"/>
  <c r="NE7" i="1"/>
  <c r="G55" i="43"/>
  <c r="G45" i="43"/>
  <c r="G35" i="43"/>
  <c r="G25" i="43"/>
  <c r="G15" i="43"/>
  <c r="G5" i="43"/>
  <c r="G59" i="43"/>
  <c r="G57" i="43"/>
  <c r="G49" i="43"/>
  <c r="G47" i="43"/>
  <c r="G39" i="43"/>
  <c r="G37" i="43"/>
  <c r="G29" i="43"/>
  <c r="G27" i="43"/>
  <c r="G19" i="43"/>
  <c r="G17" i="43"/>
  <c r="G9" i="43"/>
  <c r="G7" i="43"/>
  <c r="ND96" i="1"/>
  <c r="ND95" i="1"/>
  <c r="ND94" i="1"/>
  <c r="ND93" i="1"/>
  <c r="ND92" i="1"/>
  <c r="ND79" i="1"/>
  <c r="ND78" i="1"/>
  <c r="ND77" i="1"/>
  <c r="ND76" i="1"/>
  <c r="ND75" i="1"/>
  <c r="ND62" i="1"/>
  <c r="ND61" i="1"/>
  <c r="ND60" i="1"/>
  <c r="ND59" i="1"/>
  <c r="ND58" i="1"/>
  <c r="ND45" i="1"/>
  <c r="ND44" i="1"/>
  <c r="ND43" i="1"/>
  <c r="ND42" i="1"/>
  <c r="ND41" i="1"/>
  <c r="ND28" i="1"/>
  <c r="ND27" i="1"/>
  <c r="ND26" i="1"/>
  <c r="ND25" i="1"/>
  <c r="ND24" i="1"/>
  <c r="ND11" i="1"/>
  <c r="ND10" i="1"/>
  <c r="ND9" i="1"/>
  <c r="ND8" i="1"/>
  <c r="ND7" i="1"/>
  <c r="G55" i="42"/>
  <c r="G45" i="42"/>
  <c r="G35" i="42"/>
  <c r="G25" i="42"/>
  <c r="G15" i="42"/>
  <c r="G5" i="42"/>
  <c r="G59" i="42"/>
  <c r="G57" i="42"/>
  <c r="G49" i="42"/>
  <c r="G47" i="42"/>
  <c r="G39" i="42"/>
  <c r="G37" i="42"/>
  <c r="G29" i="42"/>
  <c r="G27" i="42"/>
  <c r="G19" i="42"/>
  <c r="G17" i="42"/>
  <c r="G9" i="42"/>
  <c r="G7" i="42"/>
  <c r="NC96" i="1"/>
  <c r="NC95" i="1"/>
  <c r="NC94" i="1"/>
  <c r="NC93" i="1"/>
  <c r="NC92" i="1"/>
  <c r="NC79" i="1"/>
  <c r="NC78" i="1"/>
  <c r="NC77" i="1"/>
  <c r="NC76" i="1"/>
  <c r="NC75" i="1"/>
  <c r="NC62" i="1"/>
  <c r="NC61" i="1"/>
  <c r="NC60" i="1"/>
  <c r="NC59" i="1"/>
  <c r="NC58" i="1"/>
  <c r="NC45" i="1"/>
  <c r="NC44" i="1"/>
  <c r="NC43" i="1"/>
  <c r="NC42" i="1"/>
  <c r="NC41" i="1"/>
  <c r="NC28" i="1"/>
  <c r="NC27" i="1"/>
  <c r="NC26" i="1"/>
  <c r="NC25" i="1"/>
  <c r="NC24" i="1"/>
  <c r="NC11" i="1"/>
  <c r="NC10" i="1"/>
  <c r="NC9" i="1"/>
  <c r="NC8" i="1"/>
  <c r="NC7" i="1"/>
  <c r="G55" i="41"/>
  <c r="G45" i="41"/>
  <c r="G35" i="41"/>
  <c r="G25" i="41"/>
  <c r="G15" i="41"/>
  <c r="G5" i="41"/>
  <c r="G59" i="41"/>
  <c r="G57" i="41"/>
  <c r="G49" i="41"/>
  <c r="G47" i="41"/>
  <c r="G39" i="41"/>
  <c r="G37" i="41"/>
  <c r="G29" i="41"/>
  <c r="G27" i="41"/>
  <c r="G19" i="41"/>
  <c r="G17" i="41"/>
  <c r="G9" i="41"/>
  <c r="G7" i="41"/>
  <c r="NB96" i="1"/>
  <c r="NB95" i="1"/>
  <c r="NB94" i="1"/>
  <c r="NB93" i="1"/>
  <c r="NB92" i="1"/>
  <c r="NB79" i="1"/>
  <c r="NB78" i="1"/>
  <c r="NB77" i="1"/>
  <c r="NB76" i="1"/>
  <c r="NB75" i="1"/>
  <c r="NB62" i="1"/>
  <c r="NB61" i="1"/>
  <c r="NB60" i="1"/>
  <c r="NB59" i="1"/>
  <c r="NB58" i="1"/>
  <c r="NB45" i="1"/>
  <c r="NB44" i="1"/>
  <c r="NB43" i="1"/>
  <c r="NB42" i="1"/>
  <c r="NB41" i="1"/>
  <c r="NB28" i="1"/>
  <c r="NB27" i="1"/>
  <c r="NB26" i="1"/>
  <c r="NB25" i="1"/>
  <c r="NB24" i="1"/>
  <c r="NB11" i="1"/>
  <c r="NB10" i="1"/>
  <c r="NB9" i="1"/>
  <c r="NB8" i="1"/>
  <c r="NB7" i="1"/>
  <c r="G55" i="40"/>
  <c r="G45" i="40"/>
  <c r="G35" i="40"/>
  <c r="G25" i="40"/>
  <c r="G15" i="40"/>
  <c r="G5" i="40"/>
  <c r="G59" i="40"/>
  <c r="G57" i="40"/>
  <c r="G49" i="40"/>
  <c r="G47" i="40"/>
  <c r="G39" i="40"/>
  <c r="G37" i="40"/>
  <c r="G29" i="40"/>
  <c r="G27" i="40"/>
  <c r="G19" i="40"/>
  <c r="G17" i="40"/>
  <c r="G9" i="40"/>
  <c r="G7" i="40"/>
  <c r="NA96" i="1"/>
  <c r="NA95" i="1"/>
  <c r="NA94" i="1"/>
  <c r="NA93" i="1"/>
  <c r="NA92" i="1"/>
  <c r="NA79" i="1"/>
  <c r="NA78" i="1"/>
  <c r="NA77" i="1"/>
  <c r="NA76" i="1"/>
  <c r="NA75" i="1"/>
  <c r="NA62" i="1"/>
  <c r="NA61" i="1"/>
  <c r="NA60" i="1"/>
  <c r="NA59" i="1"/>
  <c r="NA58" i="1"/>
  <c r="NA45" i="1"/>
  <c r="NA44" i="1"/>
  <c r="NA43" i="1"/>
  <c r="NA42" i="1"/>
  <c r="NA41" i="1"/>
  <c r="NA28" i="1"/>
  <c r="NA27" i="1"/>
  <c r="NA26" i="1"/>
  <c r="NA25" i="1"/>
  <c r="NA24" i="1"/>
  <c r="NA11" i="1"/>
  <c r="NA10" i="1"/>
  <c r="NA9" i="1"/>
  <c r="NA8" i="1"/>
  <c r="NA7" i="1"/>
  <c r="G55" i="39"/>
  <c r="G45" i="39"/>
  <c r="G35" i="39"/>
  <c r="G25" i="39"/>
  <c r="G15" i="39"/>
  <c r="G5" i="39"/>
  <c r="G59" i="39"/>
  <c r="G57" i="39"/>
  <c r="G49" i="39"/>
  <c r="G47" i="39"/>
  <c r="G39" i="39"/>
  <c r="G37" i="39"/>
  <c r="G29" i="39"/>
  <c r="G27" i="39"/>
  <c r="G19" i="39"/>
  <c r="G17" i="39"/>
  <c r="G9" i="39"/>
  <c r="G7" i="39"/>
  <c r="MZ96" i="1"/>
  <c r="MZ95" i="1"/>
  <c r="MZ94" i="1"/>
  <c r="MZ93" i="1"/>
  <c r="MZ92" i="1"/>
  <c r="MZ79" i="1"/>
  <c r="MZ78" i="1"/>
  <c r="MZ77" i="1"/>
  <c r="MZ76" i="1"/>
  <c r="MZ75" i="1"/>
  <c r="MZ62" i="1"/>
  <c r="MZ61" i="1"/>
  <c r="MZ60" i="1"/>
  <c r="MZ59" i="1"/>
  <c r="MZ58" i="1"/>
  <c r="MZ45" i="1"/>
  <c r="MZ44" i="1"/>
  <c r="MZ43" i="1"/>
  <c r="MZ42" i="1"/>
  <c r="MZ41" i="1"/>
  <c r="MZ28" i="1"/>
  <c r="MZ27" i="1"/>
  <c r="MZ26" i="1"/>
  <c r="MZ25" i="1"/>
  <c r="MZ24" i="1"/>
  <c r="MZ11" i="1"/>
  <c r="MZ10" i="1"/>
  <c r="MZ9" i="1"/>
  <c r="MZ8" i="1"/>
  <c r="MZ7" i="1"/>
  <c r="G45" i="38"/>
  <c r="G55" i="38"/>
  <c r="G35" i="38"/>
  <c r="G25" i="38"/>
  <c r="G15" i="38"/>
  <c r="G5" i="38"/>
  <c r="G59" i="38"/>
  <c r="G57" i="38"/>
  <c r="G49" i="38"/>
  <c r="G47" i="38"/>
  <c r="G39" i="38"/>
  <c r="G37" i="38"/>
  <c r="G29" i="38"/>
  <c r="G27" i="38"/>
  <c r="G19" i="38"/>
  <c r="G17" i="38"/>
  <c r="G9" i="38"/>
  <c r="G7" i="38"/>
  <c r="MY96" i="1"/>
  <c r="MY95" i="1"/>
  <c r="MY94" i="1"/>
  <c r="MY93" i="1"/>
  <c r="MY92" i="1"/>
  <c r="MY79" i="1"/>
  <c r="MY78" i="1"/>
  <c r="MY77" i="1"/>
  <c r="MY76" i="1"/>
  <c r="MY75" i="1"/>
  <c r="MY62" i="1"/>
  <c r="MY61" i="1"/>
  <c r="MY60" i="1"/>
  <c r="MY59" i="1"/>
  <c r="MY58" i="1"/>
  <c r="MY45" i="1"/>
  <c r="MY44" i="1"/>
  <c r="MY43" i="1"/>
  <c r="MY42" i="1"/>
  <c r="MY41" i="1"/>
  <c r="MY28" i="1"/>
  <c r="MY27" i="1"/>
  <c r="MY26" i="1"/>
  <c r="MY25" i="1"/>
  <c r="MY24" i="1"/>
  <c r="MY11" i="1"/>
  <c r="MY10" i="1"/>
  <c r="MY9" i="1"/>
  <c r="MY8" i="1"/>
  <c r="MY7" i="1"/>
  <c r="G55" i="37"/>
  <c r="G45" i="37"/>
  <c r="G35" i="37"/>
  <c r="G25" i="37"/>
  <c r="G15" i="37"/>
  <c r="G5" i="37"/>
  <c r="G59" i="37"/>
  <c r="G57" i="37"/>
  <c r="G49" i="37"/>
  <c r="G47" i="37"/>
  <c r="G39" i="37"/>
  <c r="G37" i="37"/>
  <c r="G29" i="37"/>
  <c r="G27" i="37"/>
  <c r="G19" i="37"/>
  <c r="G17" i="37"/>
  <c r="G9" i="37"/>
  <c r="G7" i="37"/>
  <c r="MX96" i="1" l="1"/>
  <c r="MX95" i="1"/>
  <c r="MX94" i="1"/>
  <c r="MX93" i="1"/>
  <c r="MX92" i="1"/>
  <c r="MX79" i="1"/>
  <c r="MX78" i="1"/>
  <c r="MX77" i="1"/>
  <c r="MX76" i="1"/>
  <c r="MX75" i="1"/>
  <c r="MX62" i="1"/>
  <c r="MX61" i="1"/>
  <c r="MX60" i="1"/>
  <c r="MX59" i="1"/>
  <c r="MX58" i="1"/>
  <c r="MX45" i="1"/>
  <c r="MX44" i="1"/>
  <c r="MX43" i="1"/>
  <c r="MX42" i="1"/>
  <c r="MX41" i="1"/>
  <c r="MX28" i="1"/>
  <c r="MX27" i="1"/>
  <c r="MX26" i="1"/>
  <c r="MX25" i="1"/>
  <c r="MX24" i="1"/>
  <c r="MX11" i="1"/>
  <c r="MX10" i="1"/>
  <c r="MX9" i="1"/>
  <c r="MX8" i="1"/>
  <c r="MX7" i="1"/>
  <c r="G55" i="36"/>
  <c r="G45" i="36"/>
  <c r="G35" i="36"/>
  <c r="G25" i="36"/>
  <c r="G15" i="36"/>
  <c r="G5" i="36"/>
  <c r="G59" i="36"/>
  <c r="G57" i="36"/>
  <c r="G49" i="36"/>
  <c r="G47" i="36"/>
  <c r="G39" i="36"/>
  <c r="G37" i="36"/>
  <c r="G29" i="36"/>
  <c r="G27" i="36"/>
  <c r="G19" i="36"/>
  <c r="G17" i="36"/>
  <c r="G9" i="36"/>
  <c r="G7" i="36"/>
  <c r="MW96" i="1" l="1"/>
  <c r="MW95" i="1"/>
  <c r="MW94" i="1"/>
  <c r="MW93" i="1"/>
  <c r="MW92" i="1"/>
  <c r="MW79" i="1"/>
  <c r="MW78" i="1"/>
  <c r="MW77" i="1"/>
  <c r="MW76" i="1"/>
  <c r="MW75" i="1"/>
  <c r="MW62" i="1"/>
  <c r="MW61" i="1"/>
  <c r="MW60" i="1"/>
  <c r="MW59" i="1"/>
  <c r="MW58" i="1"/>
  <c r="MW45" i="1"/>
  <c r="MW44" i="1"/>
  <c r="MW43" i="1"/>
  <c r="MW42" i="1"/>
  <c r="MW41" i="1"/>
  <c r="MW28" i="1"/>
  <c r="MW27" i="1"/>
  <c r="MW26" i="1"/>
  <c r="MW25" i="1"/>
  <c r="MW24" i="1"/>
  <c r="MW11" i="1"/>
  <c r="MW10" i="1"/>
  <c r="MW9" i="1"/>
  <c r="MW8" i="1"/>
  <c r="MW7" i="1"/>
  <c r="G55" i="35"/>
  <c r="G45" i="35"/>
  <c r="G35" i="35"/>
  <c r="G25" i="35"/>
  <c r="G15" i="35"/>
  <c r="G5" i="35"/>
  <c r="G59" i="35"/>
  <c r="G57" i="35"/>
  <c r="G49" i="35"/>
  <c r="G47" i="35"/>
  <c r="G39" i="35"/>
  <c r="G37" i="35"/>
  <c r="G29" i="35"/>
  <c r="G27" i="35"/>
  <c r="G19" i="35"/>
  <c r="G17" i="35"/>
  <c r="G9" i="35"/>
  <c r="G7" i="35"/>
  <c r="G5" i="34" l="1"/>
  <c r="MV96" i="1"/>
  <c r="MV95" i="1"/>
  <c r="MV94" i="1"/>
  <c r="MV93" i="1"/>
  <c r="MV92" i="1"/>
  <c r="MV79" i="1"/>
  <c r="MV78" i="1"/>
  <c r="MV77" i="1"/>
  <c r="MV76" i="1"/>
  <c r="MV75" i="1"/>
  <c r="MV62" i="1"/>
  <c r="MV61" i="1"/>
  <c r="MV60" i="1"/>
  <c r="MV59" i="1"/>
  <c r="MV58" i="1"/>
  <c r="MV45" i="1"/>
  <c r="MV44" i="1"/>
  <c r="MV43" i="1"/>
  <c r="MV42" i="1"/>
  <c r="MV41" i="1"/>
  <c r="MV28" i="1"/>
  <c r="MV27" i="1"/>
  <c r="MV26" i="1"/>
  <c r="MV25" i="1"/>
  <c r="MV24" i="1"/>
  <c r="MV11" i="1"/>
  <c r="MV10" i="1"/>
  <c r="MV9" i="1"/>
  <c r="MV8" i="1"/>
  <c r="MV7" i="1"/>
  <c r="G55" i="34"/>
  <c r="G45" i="34"/>
  <c r="G35" i="34"/>
  <c r="G25" i="34"/>
  <c r="G15" i="34"/>
  <c r="G59" i="34"/>
  <c r="G57" i="34"/>
  <c r="G49" i="34"/>
  <c r="G47" i="34"/>
  <c r="G39" i="34"/>
  <c r="G37" i="34"/>
  <c r="G29" i="34"/>
  <c r="G27" i="34"/>
  <c r="G19" i="34"/>
  <c r="G17" i="34"/>
  <c r="G9" i="34"/>
  <c r="G7" i="34"/>
  <c r="MU96" i="1" l="1"/>
  <c r="MU95" i="1"/>
  <c r="MU94" i="1"/>
  <c r="MU93" i="1"/>
  <c r="MU92" i="1"/>
  <c r="MU79" i="1"/>
  <c r="MU78" i="1"/>
  <c r="MU77" i="1"/>
  <c r="MU76" i="1"/>
  <c r="MU75" i="1"/>
  <c r="MU62" i="1"/>
  <c r="MU61" i="1"/>
  <c r="MU60" i="1"/>
  <c r="MU59" i="1"/>
  <c r="MU58" i="1"/>
  <c r="MU45" i="1"/>
  <c r="MU44" i="1"/>
  <c r="MU43" i="1"/>
  <c r="MU42" i="1"/>
  <c r="MU41" i="1"/>
  <c r="MU28" i="1"/>
  <c r="MU27" i="1"/>
  <c r="MU26" i="1"/>
  <c r="MU25" i="1"/>
  <c r="MU24" i="1"/>
  <c r="MU11" i="1"/>
  <c r="MU10" i="1"/>
  <c r="MU9" i="1"/>
  <c r="MU8" i="1"/>
  <c r="MU7" i="1"/>
  <c r="G55" i="33"/>
  <c r="G45" i="33"/>
  <c r="G35" i="33"/>
  <c r="G25" i="33"/>
  <c r="G15" i="33"/>
  <c r="G5" i="33"/>
  <c r="G59" i="33"/>
  <c r="G57" i="33"/>
  <c r="G49" i="33"/>
  <c r="G47" i="33"/>
  <c r="G39" i="33"/>
  <c r="G37" i="33"/>
  <c r="G29" i="33"/>
  <c r="G27" i="33"/>
  <c r="G19" i="33"/>
  <c r="G17" i="33"/>
  <c r="G9" i="33"/>
  <c r="G7" i="33"/>
  <c r="MS62" i="1" l="1"/>
  <c r="MS61" i="1"/>
  <c r="MS60" i="1"/>
  <c r="MS59" i="1"/>
  <c r="MS58" i="1"/>
  <c r="MS45" i="1"/>
  <c r="MS44" i="1"/>
  <c r="MS43" i="1"/>
  <c r="MS42" i="1"/>
  <c r="MS41" i="1"/>
  <c r="MS28" i="1"/>
  <c r="MS27" i="1"/>
  <c r="MS26" i="1"/>
  <c r="MS25" i="1"/>
  <c r="MS24" i="1"/>
  <c r="MS11" i="1"/>
  <c r="MS10" i="1"/>
  <c r="MS9" i="1"/>
  <c r="MS8" i="1"/>
  <c r="MS7" i="1"/>
  <c r="MS96" i="1"/>
  <c r="MS95" i="1"/>
  <c r="MS94" i="1"/>
  <c r="MS93" i="1"/>
  <c r="MS92" i="1"/>
  <c r="MS79" i="1"/>
  <c r="MS78" i="1"/>
  <c r="MS77" i="1"/>
  <c r="MS76" i="1"/>
  <c r="MS75" i="1"/>
  <c r="MT96" i="1" l="1"/>
  <c r="MT95" i="1"/>
  <c r="MT94" i="1"/>
  <c r="MT93" i="1"/>
  <c r="MT92" i="1"/>
  <c r="MT79" i="1"/>
  <c r="MT78" i="1"/>
  <c r="MT77" i="1"/>
  <c r="MT76" i="1"/>
  <c r="MT75" i="1"/>
  <c r="MT62" i="1"/>
  <c r="MT61" i="1"/>
  <c r="MT60" i="1"/>
  <c r="MT59" i="1"/>
  <c r="MT58" i="1"/>
  <c r="MT45" i="1"/>
  <c r="MT44" i="1"/>
  <c r="MT43" i="1"/>
  <c r="MT42" i="1"/>
  <c r="MT41" i="1"/>
  <c r="MT28" i="1"/>
  <c r="MT27" i="1"/>
  <c r="MT26" i="1"/>
  <c r="MT25" i="1"/>
  <c r="MT24" i="1"/>
  <c r="MT8" i="1"/>
  <c r="MT9" i="1"/>
  <c r="MT10" i="1"/>
  <c r="MT11" i="1"/>
  <c r="MT7" i="1"/>
  <c r="G55" i="32"/>
  <c r="G45" i="32"/>
  <c r="G35" i="32"/>
  <c r="G25" i="32"/>
  <c r="G15" i="32"/>
  <c r="G5" i="32"/>
  <c r="G59" i="32"/>
  <c r="G57" i="32"/>
  <c r="G49" i="32"/>
  <c r="G47" i="32"/>
  <c r="G39" i="32"/>
  <c r="G37" i="32"/>
  <c r="G29" i="32"/>
  <c r="G27" i="32"/>
  <c r="G19" i="32"/>
  <c r="G17" i="32"/>
  <c r="G9" i="32"/>
  <c r="G7" i="32"/>
  <c r="G35" i="31" l="1"/>
  <c r="G55" i="31"/>
  <c r="G45" i="31"/>
  <c r="G25" i="31"/>
  <c r="G15" i="31"/>
  <c r="G5" i="31"/>
  <c r="G59" i="31"/>
  <c r="G57" i="31"/>
  <c r="G49" i="31"/>
  <c r="G47" i="31"/>
  <c r="G39" i="31"/>
  <c r="G37" i="31"/>
  <c r="G29" i="31"/>
  <c r="G27" i="31"/>
  <c r="G19" i="31"/>
  <c r="G17" i="31"/>
  <c r="G9" i="31"/>
  <c r="G7" i="31"/>
  <c r="MR96" i="1" l="1"/>
  <c r="MR95" i="1"/>
  <c r="MR94" i="1"/>
  <c r="MR93" i="1"/>
  <c r="MR92" i="1"/>
  <c r="MR79" i="1"/>
  <c r="MR78" i="1"/>
  <c r="MR77" i="1"/>
  <c r="MR76" i="1"/>
  <c r="MR75" i="1"/>
  <c r="MR62" i="1"/>
  <c r="MR61" i="1"/>
  <c r="MR60" i="1"/>
  <c r="MR59" i="1"/>
  <c r="MR58" i="1"/>
  <c r="MR45" i="1"/>
  <c r="MR44" i="1"/>
  <c r="MR43" i="1"/>
  <c r="MR42" i="1"/>
  <c r="MR41" i="1"/>
  <c r="MR28" i="1"/>
  <c r="MR27" i="1"/>
  <c r="MR26" i="1"/>
  <c r="MR25" i="1"/>
  <c r="MR24" i="1"/>
  <c r="MR11" i="1"/>
  <c r="MR10" i="1"/>
  <c r="MR9" i="1"/>
  <c r="MR8" i="1"/>
  <c r="MR7" i="1"/>
  <c r="G55" i="30"/>
  <c r="G45" i="30"/>
  <c r="G35" i="30"/>
  <c r="G25" i="30"/>
  <c r="G15" i="30"/>
  <c r="G5" i="30"/>
  <c r="G59" i="30"/>
  <c r="G57" i="30"/>
  <c r="G49" i="30"/>
  <c r="G47" i="30"/>
  <c r="G39" i="30"/>
  <c r="G37" i="30"/>
  <c r="G29" i="30"/>
  <c r="G27" i="30"/>
  <c r="G19" i="30"/>
  <c r="G17" i="30"/>
  <c r="G9" i="30"/>
  <c r="G7" i="30"/>
  <c r="MQ96" i="1" l="1"/>
  <c r="MQ95" i="1"/>
  <c r="MQ94" i="1"/>
  <c r="MQ93" i="1"/>
  <c r="MQ92" i="1"/>
  <c r="MQ79" i="1"/>
  <c r="MQ78" i="1"/>
  <c r="MQ77" i="1"/>
  <c r="MQ76" i="1"/>
  <c r="MQ75" i="1"/>
  <c r="MQ62" i="1"/>
  <c r="MQ61" i="1"/>
  <c r="MQ60" i="1"/>
  <c r="MQ59" i="1"/>
  <c r="MQ58" i="1"/>
  <c r="MQ45" i="1"/>
  <c r="MQ44" i="1"/>
  <c r="MQ43" i="1"/>
  <c r="MQ42" i="1"/>
  <c r="MQ41" i="1"/>
  <c r="MQ28" i="1"/>
  <c r="MQ27" i="1"/>
  <c r="MQ26" i="1"/>
  <c r="MQ25" i="1"/>
  <c r="MQ24" i="1"/>
  <c r="MQ11" i="1"/>
  <c r="MQ10" i="1"/>
  <c r="MQ9" i="1"/>
  <c r="MQ8" i="1"/>
  <c r="MQ7" i="1"/>
  <c r="G55" i="29"/>
  <c r="G45" i="29"/>
  <c r="G35" i="29"/>
  <c r="G25" i="29"/>
  <c r="G15" i="29"/>
  <c r="G5" i="29"/>
  <c r="G59" i="29"/>
  <c r="G57" i="29"/>
  <c r="G49" i="29"/>
  <c r="G47" i="29"/>
  <c r="G39" i="29"/>
  <c r="G37" i="29"/>
  <c r="G29" i="29"/>
  <c r="G27" i="29"/>
  <c r="G19" i="29"/>
  <c r="G17" i="29"/>
  <c r="G9" i="29"/>
  <c r="G7" i="29"/>
  <c r="MP96" i="1" l="1"/>
  <c r="MP95" i="1"/>
  <c r="MP94" i="1"/>
  <c r="MP93" i="1"/>
  <c r="MP92" i="1"/>
  <c r="MP79" i="1"/>
  <c r="MP78" i="1"/>
  <c r="MP77" i="1"/>
  <c r="MP76" i="1"/>
  <c r="MP75" i="1"/>
  <c r="MP62" i="1"/>
  <c r="MP61" i="1"/>
  <c r="MP60" i="1"/>
  <c r="MP59" i="1"/>
  <c r="MP58" i="1"/>
  <c r="MP45" i="1"/>
  <c r="MP44" i="1"/>
  <c r="MP43" i="1"/>
  <c r="MP42" i="1"/>
  <c r="MP41" i="1"/>
  <c r="MP28" i="1"/>
  <c r="MP27" i="1"/>
  <c r="MP26" i="1"/>
  <c r="MP25" i="1"/>
  <c r="MP24" i="1"/>
  <c r="MP11" i="1"/>
  <c r="MP10" i="1"/>
  <c r="MP9" i="1"/>
  <c r="MP8" i="1"/>
  <c r="MP7" i="1"/>
  <c r="G55" i="28"/>
  <c r="G45" i="28"/>
  <c r="G35" i="28"/>
  <c r="G25" i="28"/>
  <c r="G15" i="28"/>
  <c r="G5" i="28"/>
  <c r="G59" i="28"/>
  <c r="G57" i="28"/>
  <c r="G49" i="28"/>
  <c r="G47" i="28"/>
  <c r="G39" i="28"/>
  <c r="G37" i="28"/>
  <c r="G29" i="28"/>
  <c r="G27" i="28"/>
  <c r="G19" i="28"/>
  <c r="G17" i="28"/>
  <c r="G9" i="28"/>
  <c r="G7" i="28"/>
  <c r="MO96" i="1" l="1"/>
  <c r="MO95" i="1"/>
  <c r="MO94" i="1"/>
  <c r="MO93" i="1"/>
  <c r="MO92" i="1"/>
  <c r="MO79" i="1"/>
  <c r="MO78" i="1"/>
  <c r="MO77" i="1"/>
  <c r="MO76" i="1"/>
  <c r="MO75" i="1"/>
  <c r="MO62" i="1"/>
  <c r="MO61" i="1"/>
  <c r="MO60" i="1"/>
  <c r="MO59" i="1"/>
  <c r="MO58" i="1"/>
  <c r="MO45" i="1"/>
  <c r="MO44" i="1"/>
  <c r="MO43" i="1"/>
  <c r="MO42" i="1"/>
  <c r="MO41" i="1"/>
  <c r="MO28" i="1"/>
  <c r="MO27" i="1"/>
  <c r="MO26" i="1"/>
  <c r="MO25" i="1"/>
  <c r="MO24" i="1"/>
  <c r="MO11" i="1"/>
  <c r="MO10" i="1"/>
  <c r="MO9" i="1"/>
  <c r="MO8" i="1"/>
  <c r="MO7" i="1"/>
  <c r="G55" i="27"/>
  <c r="G45" i="27"/>
  <c r="G35" i="27"/>
  <c r="G25" i="27"/>
  <c r="G15" i="27"/>
  <c r="G5" i="27"/>
  <c r="G59" i="27"/>
  <c r="G57" i="27"/>
  <c r="G49" i="27"/>
  <c r="G47" i="27"/>
  <c r="G39" i="27"/>
  <c r="G37" i="27"/>
  <c r="G29" i="27"/>
  <c r="G27" i="27"/>
  <c r="G19" i="27"/>
  <c r="G17" i="27"/>
  <c r="G9" i="27"/>
  <c r="G7" i="27"/>
  <c r="F44" i="1"/>
  <c r="G44" i="1"/>
  <c r="H44" i="1"/>
  <c r="HC44" i="1" s="1"/>
  <c r="J44" i="1"/>
  <c r="HD44" i="1" s="1"/>
  <c r="K44" i="1"/>
  <c r="L44" i="1"/>
  <c r="M44" i="1"/>
  <c r="HH44" i="1" s="1"/>
  <c r="F94" i="1"/>
  <c r="G94" i="1"/>
  <c r="H94" i="1"/>
  <c r="HC94" i="1" s="1"/>
  <c r="J94" i="1"/>
  <c r="HD94" i="1" s="1"/>
  <c r="K94" i="1"/>
  <c r="L94" i="1"/>
  <c r="M94" i="1"/>
  <c r="HH94" i="1" s="1"/>
  <c r="F96" i="1"/>
  <c r="G96" i="1"/>
  <c r="H96" i="1"/>
  <c r="HC96" i="1" s="1"/>
  <c r="J96" i="1"/>
  <c r="HD96" i="1" s="1"/>
  <c r="K96" i="1"/>
  <c r="L96" i="1"/>
  <c r="M96" i="1"/>
  <c r="HH96" i="1" s="1"/>
  <c r="E96" i="1"/>
  <c r="F95" i="1"/>
  <c r="G95" i="1"/>
  <c r="H95" i="1"/>
  <c r="HC95" i="1" s="1"/>
  <c r="J95" i="1"/>
  <c r="K95" i="1"/>
  <c r="L95" i="1"/>
  <c r="M95" i="1"/>
  <c r="HH95" i="1" s="1"/>
  <c r="F92" i="1"/>
  <c r="G92" i="1"/>
  <c r="H92" i="1"/>
  <c r="HC92" i="1" s="1"/>
  <c r="J92" i="1"/>
  <c r="HD92" i="1" s="1"/>
  <c r="K92" i="1"/>
  <c r="L92" i="1"/>
  <c r="M92" i="1"/>
  <c r="HH92" i="1" s="1"/>
  <c r="F79" i="1"/>
  <c r="G79" i="1"/>
  <c r="H79" i="1"/>
  <c r="HC79" i="1" s="1"/>
  <c r="J79" i="1"/>
  <c r="HD79" i="1" s="1"/>
  <c r="K79" i="1"/>
  <c r="L79" i="1"/>
  <c r="M79" i="1"/>
  <c r="F78" i="1"/>
  <c r="G78" i="1"/>
  <c r="H78" i="1"/>
  <c r="HC78" i="1" s="1"/>
  <c r="J78" i="1"/>
  <c r="HD78" i="1" s="1"/>
  <c r="K78" i="1"/>
  <c r="L78" i="1"/>
  <c r="M78" i="1"/>
  <c r="HH78" i="1" s="1"/>
  <c r="F77" i="1"/>
  <c r="G77" i="1"/>
  <c r="H77" i="1"/>
  <c r="HC77" i="1" s="1"/>
  <c r="J77" i="1"/>
  <c r="HD77" i="1" s="1"/>
  <c r="K77" i="1"/>
  <c r="L77" i="1"/>
  <c r="M77" i="1"/>
  <c r="HH77" i="1" s="1"/>
  <c r="F75" i="1"/>
  <c r="G75" i="1"/>
  <c r="H75" i="1"/>
  <c r="HC75" i="1" s="1"/>
  <c r="J75" i="1"/>
  <c r="HD75" i="1" s="1"/>
  <c r="K75" i="1"/>
  <c r="L75" i="1"/>
  <c r="M75" i="1"/>
  <c r="HH75" i="1" s="1"/>
  <c r="F62" i="1"/>
  <c r="G62" i="1"/>
  <c r="H62" i="1"/>
  <c r="HC62" i="1" s="1"/>
  <c r="J62" i="1"/>
  <c r="HD62" i="1" s="1"/>
  <c r="K62" i="1"/>
  <c r="L62" i="1"/>
  <c r="M62" i="1"/>
  <c r="HH62" i="1" s="1"/>
  <c r="F61" i="1"/>
  <c r="G61" i="1"/>
  <c r="H61" i="1"/>
  <c r="HC61" i="1" s="1"/>
  <c r="J61" i="1"/>
  <c r="HD61" i="1" s="1"/>
  <c r="K61" i="1"/>
  <c r="L61" i="1"/>
  <c r="M61" i="1"/>
  <c r="HH61" i="1" s="1"/>
  <c r="F60" i="1"/>
  <c r="G60" i="1"/>
  <c r="H60" i="1"/>
  <c r="J60" i="1"/>
  <c r="HD60" i="1" s="1"/>
  <c r="K60" i="1"/>
  <c r="L60" i="1"/>
  <c r="M60" i="1"/>
  <c r="HH60" i="1" s="1"/>
  <c r="F58" i="1"/>
  <c r="G58" i="1"/>
  <c r="H58" i="1"/>
  <c r="HC58" i="1" s="1"/>
  <c r="J58" i="1"/>
  <c r="K58" i="1"/>
  <c r="L58" i="1"/>
  <c r="M58" i="1"/>
  <c r="E58" i="1"/>
  <c r="F45" i="1"/>
  <c r="G45" i="1"/>
  <c r="H45" i="1"/>
  <c r="J45" i="1"/>
  <c r="HD45" i="1" s="1"/>
  <c r="K45" i="1"/>
  <c r="L45" i="1"/>
  <c r="F43" i="1"/>
  <c r="G43" i="1"/>
  <c r="H43" i="1"/>
  <c r="HC43" i="1" s="1"/>
  <c r="J43" i="1"/>
  <c r="HD43" i="1" s="1"/>
  <c r="K43" i="1"/>
  <c r="L43" i="1"/>
  <c r="M43" i="1"/>
  <c r="F41" i="1"/>
  <c r="G41" i="1"/>
  <c r="H41" i="1"/>
  <c r="HC41" i="1" s="1"/>
  <c r="J41" i="1"/>
  <c r="HD41" i="1" s="1"/>
  <c r="K41" i="1"/>
  <c r="L41" i="1"/>
  <c r="M41" i="1"/>
  <c r="HH41" i="1" s="1"/>
  <c r="B28" i="1"/>
  <c r="C28" i="1"/>
  <c r="D28" i="1"/>
  <c r="E28" i="1"/>
  <c r="F28" i="1"/>
  <c r="G28" i="1"/>
  <c r="H28" i="1"/>
  <c r="HC28" i="1" s="1"/>
  <c r="J28" i="1"/>
  <c r="K28" i="1"/>
  <c r="L28" i="1"/>
  <c r="HG28" i="1" s="1"/>
  <c r="B27" i="1"/>
  <c r="C27" i="1"/>
  <c r="D27" i="1"/>
  <c r="E27" i="1"/>
  <c r="F27" i="1"/>
  <c r="G27" i="1"/>
  <c r="H27" i="1"/>
  <c r="HC27" i="1" s="1"/>
  <c r="J27" i="1"/>
  <c r="HD27" i="1" s="1"/>
  <c r="K27" i="1"/>
  <c r="L27" i="1"/>
  <c r="M27" i="1"/>
  <c r="HH27" i="1" s="1"/>
  <c r="B26" i="1"/>
  <c r="C26" i="1"/>
  <c r="D26" i="1"/>
  <c r="E26" i="1"/>
  <c r="F26" i="1"/>
  <c r="G26" i="1"/>
  <c r="H26" i="1"/>
  <c r="HC26" i="1" s="1"/>
  <c r="J26" i="1"/>
  <c r="HD26" i="1" s="1"/>
  <c r="K26" i="1"/>
  <c r="L26" i="1"/>
  <c r="M26" i="1"/>
  <c r="HH26" i="1" s="1"/>
  <c r="B24" i="1"/>
  <c r="C24" i="1"/>
  <c r="D24" i="1"/>
  <c r="E24" i="1"/>
  <c r="F24" i="1"/>
  <c r="G24" i="1"/>
  <c r="H24" i="1"/>
  <c r="HC24" i="1" s="1"/>
  <c r="J24" i="1"/>
  <c r="HD24" i="1" s="1"/>
  <c r="K24" i="1"/>
  <c r="L24" i="1"/>
  <c r="M24" i="1"/>
  <c r="HH24" i="1" s="1"/>
  <c r="B11" i="1"/>
  <c r="C11" i="1"/>
  <c r="D11" i="1"/>
  <c r="E11" i="1"/>
  <c r="F11" i="1"/>
  <c r="G11" i="1"/>
  <c r="H11" i="1"/>
  <c r="J11" i="1"/>
  <c r="HD11" i="1" s="1"/>
  <c r="K11" i="1"/>
  <c r="L11" i="1"/>
  <c r="M11" i="1"/>
  <c r="HH11" i="1" s="1"/>
  <c r="B10" i="1"/>
  <c r="C10" i="1"/>
  <c r="D10" i="1"/>
  <c r="E10" i="1"/>
  <c r="F10" i="1"/>
  <c r="G10" i="1"/>
  <c r="H10" i="1"/>
  <c r="HC10" i="1" s="1"/>
  <c r="J10" i="1"/>
  <c r="HD10" i="1" s="1"/>
  <c r="K10" i="1"/>
  <c r="L10" i="1"/>
  <c r="M10" i="1"/>
  <c r="HH10" i="1" s="1"/>
  <c r="B9" i="1"/>
  <c r="C9" i="1"/>
  <c r="D9" i="1"/>
  <c r="E9" i="1"/>
  <c r="F9" i="1"/>
  <c r="G9" i="1"/>
  <c r="H9" i="1"/>
  <c r="J9" i="1"/>
  <c r="HD9" i="1" s="1"/>
  <c r="K9" i="1"/>
  <c r="L9" i="1"/>
  <c r="M9" i="1"/>
  <c r="HH9" i="1" s="1"/>
  <c r="B7" i="1"/>
  <c r="C7" i="1"/>
  <c r="D7" i="1"/>
  <c r="E7" i="1"/>
  <c r="F7" i="1"/>
  <c r="G7" i="1"/>
  <c r="H7" i="1"/>
  <c r="HC7" i="1" s="1"/>
  <c r="J7" i="1"/>
  <c r="HD7" i="1" s="1"/>
  <c r="K7" i="1"/>
  <c r="L7" i="1"/>
  <c r="M7" i="1"/>
  <c r="HH7" i="1" s="1"/>
  <c r="MN96" i="1"/>
  <c r="MN95" i="1"/>
  <c r="MN94" i="1"/>
  <c r="MN93" i="1"/>
  <c r="MN92" i="1"/>
  <c r="MN79" i="1"/>
  <c r="MN78" i="1"/>
  <c r="MN77" i="1"/>
  <c r="MN76" i="1"/>
  <c r="MN75" i="1"/>
  <c r="MN62" i="1"/>
  <c r="MN61" i="1"/>
  <c r="MN60" i="1"/>
  <c r="MN59" i="1"/>
  <c r="MN58" i="1"/>
  <c r="MN45" i="1"/>
  <c r="MN44" i="1"/>
  <c r="MN43" i="1"/>
  <c r="MN42" i="1"/>
  <c r="MN41" i="1"/>
  <c r="MN28" i="1"/>
  <c r="MN27" i="1"/>
  <c r="MN26" i="1"/>
  <c r="MN25" i="1"/>
  <c r="MN24" i="1"/>
  <c r="MN11" i="1"/>
  <c r="MN10" i="1"/>
  <c r="MN9" i="1"/>
  <c r="MN8" i="1"/>
  <c r="MN7" i="1"/>
  <c r="G55" i="26"/>
  <c r="G45" i="26"/>
  <c r="G35" i="26"/>
  <c r="G25" i="26"/>
  <c r="G15" i="26"/>
  <c r="G5" i="26"/>
  <c r="G59" i="26"/>
  <c r="G57" i="26"/>
  <c r="G49" i="26"/>
  <c r="G47" i="26"/>
  <c r="G39" i="26"/>
  <c r="G37" i="26"/>
  <c r="G29" i="26"/>
  <c r="G27" i="26"/>
  <c r="G19" i="26"/>
  <c r="G17" i="26"/>
  <c r="G9" i="26"/>
  <c r="G7" i="26"/>
  <c r="MM96" i="1"/>
  <c r="MM95" i="1"/>
  <c r="MM94" i="1"/>
  <c r="MM93" i="1"/>
  <c r="MM92" i="1"/>
  <c r="MM79" i="1"/>
  <c r="MM78" i="1"/>
  <c r="MM77" i="1"/>
  <c r="MM76" i="1"/>
  <c r="MM75" i="1"/>
  <c r="MM62" i="1"/>
  <c r="MM61" i="1"/>
  <c r="MM60" i="1"/>
  <c r="MM59" i="1"/>
  <c r="MM58" i="1"/>
  <c r="MM45" i="1"/>
  <c r="MM44" i="1"/>
  <c r="MM43" i="1"/>
  <c r="MM42" i="1"/>
  <c r="MM41" i="1"/>
  <c r="MM28" i="1"/>
  <c r="MM27" i="1"/>
  <c r="MM26" i="1"/>
  <c r="MM25" i="1"/>
  <c r="MM24" i="1"/>
  <c r="MM11" i="1"/>
  <c r="MM10" i="1"/>
  <c r="MM9" i="1"/>
  <c r="MM8" i="1"/>
  <c r="MM7" i="1"/>
  <c r="G55" i="25"/>
  <c r="G45" i="25"/>
  <c r="G35" i="25"/>
  <c r="G25" i="25"/>
  <c r="G15" i="25"/>
  <c r="G5" i="25"/>
  <c r="G59" i="25"/>
  <c r="G57" i="25"/>
  <c r="G49" i="25"/>
  <c r="G47" i="25"/>
  <c r="G39" i="25"/>
  <c r="G37" i="25"/>
  <c r="G29" i="25"/>
  <c r="G27" i="25"/>
  <c r="G19" i="25"/>
  <c r="G17" i="25"/>
  <c r="G9" i="25"/>
  <c r="G7" i="25"/>
  <c r="ML96" i="1"/>
  <c r="ML95" i="1"/>
  <c r="ML94" i="1"/>
  <c r="ML93" i="1"/>
  <c r="ML92" i="1"/>
  <c r="ML79" i="1"/>
  <c r="ML78" i="1"/>
  <c r="ML77" i="1"/>
  <c r="ML76" i="1"/>
  <c r="ML75" i="1"/>
  <c r="ML62" i="1"/>
  <c r="ML61" i="1"/>
  <c r="ML60" i="1"/>
  <c r="ML59" i="1"/>
  <c r="ML58" i="1"/>
  <c r="ML45" i="1"/>
  <c r="ML44" i="1"/>
  <c r="ML43" i="1"/>
  <c r="ML42" i="1"/>
  <c r="ML41" i="1"/>
  <c r="ML28" i="1"/>
  <c r="ML27" i="1"/>
  <c r="ML26" i="1"/>
  <c r="ML25" i="1"/>
  <c r="ML24" i="1"/>
  <c r="ML11" i="1"/>
  <c r="ML10" i="1"/>
  <c r="ML9" i="1"/>
  <c r="ML8" i="1"/>
  <c r="ML7" i="1"/>
  <c r="G55" i="24"/>
  <c r="G45" i="24"/>
  <c r="G35" i="24"/>
  <c r="G25" i="24"/>
  <c r="G15" i="24"/>
  <c r="G5" i="24"/>
  <c r="G59" i="24"/>
  <c r="G57" i="24"/>
  <c r="G49" i="24"/>
  <c r="G47" i="24"/>
  <c r="G39" i="24"/>
  <c r="G37" i="24"/>
  <c r="G29" i="24"/>
  <c r="G27" i="24"/>
  <c r="G19" i="24"/>
  <c r="G17" i="24"/>
  <c r="G9" i="24"/>
  <c r="G7" i="24"/>
  <c r="MK96" i="1"/>
  <c r="MK95" i="1"/>
  <c r="MK94" i="1"/>
  <c r="MK93" i="1"/>
  <c r="MK92" i="1"/>
  <c r="MK79" i="1"/>
  <c r="MK78" i="1"/>
  <c r="MK77" i="1"/>
  <c r="MK76" i="1"/>
  <c r="MK75" i="1"/>
  <c r="MK62" i="1"/>
  <c r="MK61" i="1"/>
  <c r="MK60" i="1"/>
  <c r="MK59" i="1"/>
  <c r="MK58" i="1"/>
  <c r="MK45" i="1"/>
  <c r="MK44" i="1"/>
  <c r="MK43" i="1"/>
  <c r="MK42" i="1"/>
  <c r="MK41" i="1"/>
  <c r="MK28" i="1"/>
  <c r="MK27" i="1"/>
  <c r="MK26" i="1"/>
  <c r="MK25" i="1"/>
  <c r="MK24" i="1"/>
  <c r="MK11" i="1"/>
  <c r="MK10" i="1"/>
  <c r="MK9" i="1"/>
  <c r="MK8" i="1"/>
  <c r="MK7" i="1"/>
  <c r="G55" i="23"/>
  <c r="G45" i="23"/>
  <c r="G35" i="23"/>
  <c r="G25" i="23"/>
  <c r="G15" i="23"/>
  <c r="G5" i="23"/>
  <c r="G59" i="23"/>
  <c r="G57" i="23"/>
  <c r="G49" i="23"/>
  <c r="G47" i="23"/>
  <c r="G39" i="23"/>
  <c r="G37" i="23"/>
  <c r="G29" i="23"/>
  <c r="G27" i="23"/>
  <c r="G19" i="23"/>
  <c r="G17" i="23"/>
  <c r="G9" i="23"/>
  <c r="G7" i="23"/>
  <c r="MJ96" i="1"/>
  <c r="MJ95" i="1"/>
  <c r="MJ94" i="1"/>
  <c r="MJ93" i="1"/>
  <c r="MJ92" i="1"/>
  <c r="MJ79" i="1"/>
  <c r="MJ78" i="1"/>
  <c r="MJ77" i="1"/>
  <c r="MJ76" i="1"/>
  <c r="MJ75" i="1"/>
  <c r="MJ62" i="1"/>
  <c r="MJ61" i="1"/>
  <c r="MJ60" i="1"/>
  <c r="MJ59" i="1"/>
  <c r="MJ58" i="1"/>
  <c r="MJ45" i="1"/>
  <c r="MJ44" i="1"/>
  <c r="MJ43" i="1"/>
  <c r="MJ42" i="1"/>
  <c r="MJ41" i="1"/>
  <c r="MJ28" i="1"/>
  <c r="MJ27" i="1"/>
  <c r="MJ26" i="1"/>
  <c r="MJ25" i="1"/>
  <c r="MJ24" i="1"/>
  <c r="MJ11" i="1"/>
  <c r="MJ10" i="1"/>
  <c r="MJ9" i="1"/>
  <c r="MJ8" i="1"/>
  <c r="MJ7" i="1"/>
  <c r="G45" i="22"/>
  <c r="G35" i="22"/>
  <c r="G25" i="22"/>
  <c r="G15" i="22"/>
  <c r="G5" i="22"/>
  <c r="G59" i="22"/>
  <c r="G57" i="22"/>
  <c r="G49" i="22"/>
  <c r="G47" i="22"/>
  <c r="G39" i="22"/>
  <c r="G37" i="22"/>
  <c r="G29" i="22"/>
  <c r="G27" i="22"/>
  <c r="G19" i="22"/>
  <c r="G17" i="22"/>
  <c r="G9" i="22"/>
  <c r="G7" i="22"/>
  <c r="G55" i="21"/>
  <c r="G45" i="21"/>
  <c r="G35" i="21"/>
  <c r="G25" i="21"/>
  <c r="G15" i="21"/>
  <c r="G5" i="21"/>
  <c r="G59" i="21"/>
  <c r="G57" i="21"/>
  <c r="G49" i="21"/>
  <c r="G47" i="21"/>
  <c r="G39" i="21"/>
  <c r="G37" i="21"/>
  <c r="G29" i="21"/>
  <c r="G27" i="21"/>
  <c r="G19" i="21"/>
  <c r="G17" i="21"/>
  <c r="G9" i="21"/>
  <c r="G7" i="21"/>
  <c r="MI96" i="1"/>
  <c r="MI95" i="1"/>
  <c r="MI94" i="1"/>
  <c r="MI93" i="1"/>
  <c r="MI92" i="1"/>
  <c r="MI79" i="1"/>
  <c r="MI78" i="1"/>
  <c r="MI77" i="1"/>
  <c r="MI76" i="1"/>
  <c r="MI75" i="1"/>
  <c r="MI62" i="1"/>
  <c r="MI61" i="1"/>
  <c r="MI60" i="1"/>
  <c r="MI59" i="1"/>
  <c r="MI58" i="1"/>
  <c r="MI45" i="1"/>
  <c r="MI44" i="1"/>
  <c r="MI43" i="1"/>
  <c r="MI42" i="1"/>
  <c r="MI41" i="1"/>
  <c r="MI28" i="1"/>
  <c r="MI27" i="1"/>
  <c r="MI26" i="1"/>
  <c r="MI25" i="1"/>
  <c r="MI24" i="1"/>
  <c r="MI11" i="1"/>
  <c r="MI10" i="1"/>
  <c r="MI9" i="1"/>
  <c r="MI8" i="1"/>
  <c r="MI7" i="1"/>
  <c r="MH96" i="1"/>
  <c r="MH95" i="1"/>
  <c r="MH94" i="1"/>
  <c r="MH93" i="1"/>
  <c r="MH92" i="1"/>
  <c r="MH79" i="1"/>
  <c r="MH78" i="1"/>
  <c r="MH77" i="1"/>
  <c r="MH76" i="1"/>
  <c r="MH75" i="1"/>
  <c r="MH62" i="1"/>
  <c r="MH61" i="1"/>
  <c r="MH60" i="1"/>
  <c r="MH59" i="1"/>
  <c r="MH58" i="1"/>
  <c r="MH45" i="1"/>
  <c r="MH44" i="1"/>
  <c r="MH43" i="1"/>
  <c r="MH42" i="1"/>
  <c r="MH41" i="1"/>
  <c r="MH28" i="1"/>
  <c r="MH27" i="1"/>
  <c r="MH26" i="1"/>
  <c r="MH25" i="1"/>
  <c r="MH24" i="1"/>
  <c r="MH11" i="1"/>
  <c r="MH10" i="1"/>
  <c r="MH9" i="1"/>
  <c r="MH8" i="1"/>
  <c r="MH7" i="1"/>
  <c r="G55" i="20"/>
  <c r="G45" i="20"/>
  <c r="G35" i="20"/>
  <c r="G25" i="20"/>
  <c r="G15" i="20"/>
  <c r="G17" i="20"/>
  <c r="G5" i="20"/>
  <c r="G59" i="20"/>
  <c r="G57" i="20"/>
  <c r="G49" i="20"/>
  <c r="G47" i="20"/>
  <c r="G39" i="20"/>
  <c r="G37" i="20"/>
  <c r="G29" i="20"/>
  <c r="G27" i="20"/>
  <c r="G19" i="20"/>
  <c r="G9" i="20"/>
  <c r="G7" i="20"/>
  <c r="G35" i="19"/>
  <c r="G15" i="19"/>
  <c r="MG96" i="1"/>
  <c r="MG95" i="1"/>
  <c r="MG94" i="1"/>
  <c r="MG93" i="1"/>
  <c r="MG92" i="1"/>
  <c r="MG79" i="1"/>
  <c r="MG78" i="1"/>
  <c r="MG77" i="1"/>
  <c r="MG76" i="1"/>
  <c r="MG75" i="1"/>
  <c r="MG62" i="1"/>
  <c r="MG61" i="1"/>
  <c r="MG60" i="1"/>
  <c r="MG59" i="1"/>
  <c r="MG58" i="1"/>
  <c r="MG45" i="1"/>
  <c r="MG44" i="1"/>
  <c r="MG43" i="1"/>
  <c r="MG42" i="1"/>
  <c r="MG41" i="1"/>
  <c r="MG28" i="1"/>
  <c r="MG27" i="1"/>
  <c r="MG26" i="1"/>
  <c r="MG25" i="1"/>
  <c r="MG24" i="1"/>
  <c r="MG11" i="1"/>
  <c r="MG10" i="1"/>
  <c r="MG9" i="1"/>
  <c r="MG8" i="1"/>
  <c r="MG7" i="1"/>
  <c r="G55" i="19"/>
  <c r="G45" i="19"/>
  <c r="G25" i="19"/>
  <c r="G5" i="19"/>
  <c r="G59" i="19"/>
  <c r="G57" i="19"/>
  <c r="G49" i="19"/>
  <c r="G47" i="19"/>
  <c r="G39" i="19"/>
  <c r="G37" i="19"/>
  <c r="G29" i="19"/>
  <c r="G27" i="19"/>
  <c r="G19" i="19"/>
  <c r="G17" i="19"/>
  <c r="G9" i="19"/>
  <c r="G7" i="19"/>
  <c r="MF96" i="1"/>
  <c r="MF95" i="1"/>
  <c r="MF94" i="1"/>
  <c r="MF93" i="1"/>
  <c r="MF92" i="1"/>
  <c r="MF79" i="1"/>
  <c r="MF78" i="1"/>
  <c r="MF77" i="1"/>
  <c r="MF76" i="1"/>
  <c r="MF75" i="1"/>
  <c r="MF62" i="1"/>
  <c r="MF61" i="1"/>
  <c r="MF60" i="1"/>
  <c r="MF59" i="1"/>
  <c r="MF58" i="1"/>
  <c r="MF45" i="1"/>
  <c r="MF44" i="1"/>
  <c r="MF43" i="1"/>
  <c r="MF42" i="1"/>
  <c r="MF41" i="1"/>
  <c r="MF28" i="1"/>
  <c r="MF27" i="1"/>
  <c r="MF26" i="1"/>
  <c r="MF25" i="1"/>
  <c r="MF24" i="1"/>
  <c r="MF11" i="1"/>
  <c r="MF10" i="1"/>
  <c r="MF9" i="1"/>
  <c r="MF8" i="1"/>
  <c r="MF7" i="1"/>
  <c r="G55" i="18"/>
  <c r="G45" i="18"/>
  <c r="G35" i="18"/>
  <c r="G25" i="18"/>
  <c r="G15" i="18"/>
  <c r="G5" i="18"/>
  <c r="G59" i="18"/>
  <c r="G57" i="18"/>
  <c r="G49" i="18"/>
  <c r="G47" i="18"/>
  <c r="G39" i="18"/>
  <c r="G37" i="18"/>
  <c r="G29" i="18"/>
  <c r="G27" i="18"/>
  <c r="G19" i="18"/>
  <c r="G17" i="18"/>
  <c r="G9" i="18"/>
  <c r="G7" i="18"/>
  <c r="G55" i="17"/>
  <c r="ME96" i="1"/>
  <c r="ME95" i="1"/>
  <c r="ME94" i="1"/>
  <c r="ME93" i="1"/>
  <c r="ME92" i="1"/>
  <c r="ME79" i="1"/>
  <c r="ME78" i="1"/>
  <c r="ME77" i="1"/>
  <c r="ME76" i="1"/>
  <c r="ME75" i="1"/>
  <c r="ME62" i="1"/>
  <c r="ME61" i="1"/>
  <c r="ME60" i="1"/>
  <c r="ME59" i="1"/>
  <c r="ME58" i="1"/>
  <c r="ME45" i="1"/>
  <c r="ME44" i="1"/>
  <c r="ME43" i="1"/>
  <c r="ME42" i="1"/>
  <c r="ME41" i="1"/>
  <c r="ME28" i="1"/>
  <c r="ME27" i="1"/>
  <c r="ME26" i="1"/>
  <c r="ME25" i="1"/>
  <c r="ME24" i="1"/>
  <c r="ME11" i="1"/>
  <c r="ME10" i="1"/>
  <c r="ME9" i="1"/>
  <c r="ME8" i="1"/>
  <c r="ME7" i="1"/>
  <c r="G45" i="17"/>
  <c r="G35" i="17"/>
  <c r="G25" i="17"/>
  <c r="G15" i="17"/>
  <c r="G5" i="17"/>
  <c r="G59" i="17"/>
  <c r="G57" i="17"/>
  <c r="G49" i="17"/>
  <c r="G47" i="17"/>
  <c r="G39" i="17"/>
  <c r="G37" i="17"/>
  <c r="G29" i="17"/>
  <c r="G27" i="17"/>
  <c r="G19" i="17"/>
  <c r="G17" i="17"/>
  <c r="G9" i="17"/>
  <c r="G7" i="17"/>
  <c r="MD96" i="1"/>
  <c r="MD95" i="1"/>
  <c r="MD94" i="1"/>
  <c r="MD93" i="1"/>
  <c r="MD92" i="1"/>
  <c r="MD79" i="1"/>
  <c r="MD78" i="1"/>
  <c r="MD77" i="1"/>
  <c r="MD76" i="1"/>
  <c r="MD75" i="1"/>
  <c r="MD62" i="1"/>
  <c r="MD61" i="1"/>
  <c r="MD60" i="1"/>
  <c r="MD59" i="1"/>
  <c r="MD58" i="1"/>
  <c r="MD45" i="1"/>
  <c r="MD44" i="1"/>
  <c r="MD43" i="1"/>
  <c r="MD42" i="1"/>
  <c r="MD41" i="1"/>
  <c r="MD28" i="1"/>
  <c r="MD27" i="1"/>
  <c r="MD26" i="1"/>
  <c r="MD25" i="1"/>
  <c r="MD24" i="1"/>
  <c r="MD11" i="1"/>
  <c r="MD10" i="1"/>
  <c r="MD9" i="1"/>
  <c r="MD8" i="1"/>
  <c r="MD7" i="1"/>
  <c r="G55" i="16"/>
  <c r="G45" i="16"/>
  <c r="G35" i="16"/>
  <c r="G25" i="16"/>
  <c r="G15" i="16"/>
  <c r="G5" i="16"/>
  <c r="G59" i="16"/>
  <c r="G57" i="16"/>
  <c r="G49" i="16"/>
  <c r="G47" i="16"/>
  <c r="G39" i="16"/>
  <c r="G37" i="16"/>
  <c r="G29" i="16"/>
  <c r="G27" i="16"/>
  <c r="G19" i="16"/>
  <c r="G17" i="16"/>
  <c r="G9" i="16"/>
  <c r="G7" i="16"/>
  <c r="MC96" i="1"/>
  <c r="MC95" i="1"/>
  <c r="MC94" i="1"/>
  <c r="MC93" i="1"/>
  <c r="MC92" i="1"/>
  <c r="MC79" i="1"/>
  <c r="MC78" i="1"/>
  <c r="MC77" i="1"/>
  <c r="MC76" i="1"/>
  <c r="MC75" i="1"/>
  <c r="MC62" i="1"/>
  <c r="MC61" i="1"/>
  <c r="MC60" i="1"/>
  <c r="MC59" i="1"/>
  <c r="MC58" i="1"/>
  <c r="MC45" i="1"/>
  <c r="MC44" i="1"/>
  <c r="MC43" i="1"/>
  <c r="MC42" i="1"/>
  <c r="MC41" i="1"/>
  <c r="MC28" i="1"/>
  <c r="MC27" i="1"/>
  <c r="MC26" i="1"/>
  <c r="MC25" i="1"/>
  <c r="MC24" i="1"/>
  <c r="MC11" i="1"/>
  <c r="MC10" i="1"/>
  <c r="MC9" i="1"/>
  <c r="MC8" i="1"/>
  <c r="MC7" i="1"/>
  <c r="G55" i="15"/>
  <c r="G45" i="15"/>
  <c r="G35" i="15"/>
  <c r="G25" i="15"/>
  <c r="G15" i="15"/>
  <c r="G5" i="15"/>
  <c r="G59" i="15"/>
  <c r="G57" i="15"/>
  <c r="G49" i="15"/>
  <c r="G47" i="15"/>
  <c r="G39" i="15"/>
  <c r="G37" i="15"/>
  <c r="G29" i="15"/>
  <c r="G27" i="15"/>
  <c r="G19" i="15"/>
  <c r="G17" i="15"/>
  <c r="G9" i="15"/>
  <c r="G7" i="15"/>
  <c r="MB96" i="1"/>
  <c r="MB95" i="1"/>
  <c r="MB94" i="1"/>
  <c r="MB93" i="1"/>
  <c r="MB92" i="1"/>
  <c r="MB79" i="1"/>
  <c r="MB78" i="1"/>
  <c r="MB77" i="1"/>
  <c r="MB76" i="1"/>
  <c r="MB75" i="1"/>
  <c r="MB62" i="1"/>
  <c r="MB61" i="1"/>
  <c r="MB60" i="1"/>
  <c r="MB59" i="1"/>
  <c r="MB58" i="1"/>
  <c r="MB45" i="1"/>
  <c r="MB44" i="1"/>
  <c r="MB43" i="1"/>
  <c r="MB42" i="1"/>
  <c r="MB41" i="1"/>
  <c r="MB28" i="1"/>
  <c r="MB27" i="1"/>
  <c r="MB26" i="1"/>
  <c r="MB25" i="1"/>
  <c r="MB24" i="1"/>
  <c r="MB11" i="1"/>
  <c r="MB10" i="1"/>
  <c r="MB9" i="1"/>
  <c r="MB8" i="1"/>
  <c r="MB7" i="1"/>
  <c r="G55" i="14"/>
  <c r="G45" i="14"/>
  <c r="G35" i="14"/>
  <c r="G25" i="14"/>
  <c r="G15" i="14"/>
  <c r="G5" i="14"/>
  <c r="G59" i="14"/>
  <c r="G57" i="14"/>
  <c r="G49" i="14"/>
  <c r="G47" i="14"/>
  <c r="G39" i="14"/>
  <c r="G37" i="14"/>
  <c r="G29" i="14"/>
  <c r="G27" i="14"/>
  <c r="G19" i="14"/>
  <c r="G17" i="14"/>
  <c r="G9" i="14"/>
  <c r="G7" i="14"/>
  <c r="MA96" i="1"/>
  <c r="MA95" i="1"/>
  <c r="MA94" i="1"/>
  <c r="MA93" i="1"/>
  <c r="MA92" i="1"/>
  <c r="MA79" i="1"/>
  <c r="MA78" i="1"/>
  <c r="MA77" i="1"/>
  <c r="MA76" i="1"/>
  <c r="MA75" i="1"/>
  <c r="MA62" i="1"/>
  <c r="MA61" i="1"/>
  <c r="MA60" i="1"/>
  <c r="MA59" i="1"/>
  <c r="MA58" i="1"/>
  <c r="MA45" i="1"/>
  <c r="MA44" i="1"/>
  <c r="MA43" i="1"/>
  <c r="MA42" i="1"/>
  <c r="MA41" i="1"/>
  <c r="MA28" i="1"/>
  <c r="MA27" i="1"/>
  <c r="MA26" i="1"/>
  <c r="MA25" i="1"/>
  <c r="MA24" i="1"/>
  <c r="MA11" i="1"/>
  <c r="MA10" i="1"/>
  <c r="MA9" i="1"/>
  <c r="MA8" i="1"/>
  <c r="MA7" i="1"/>
  <c r="G55" i="13"/>
  <c r="G45" i="13"/>
  <c r="G35" i="13"/>
  <c r="G25" i="13"/>
  <c r="G15" i="13"/>
  <c r="G5" i="13"/>
  <c r="G59" i="13"/>
  <c r="G57" i="13"/>
  <c r="G49" i="13"/>
  <c r="G47" i="13"/>
  <c r="G39" i="13"/>
  <c r="G37" i="13"/>
  <c r="G29" i="13"/>
  <c r="G27" i="13"/>
  <c r="G19" i="13"/>
  <c r="G17" i="13"/>
  <c r="G9" i="13"/>
  <c r="G7" i="13"/>
  <c r="LZ41" i="1"/>
  <c r="LZ96" i="1"/>
  <c r="LZ95" i="1"/>
  <c r="LZ94" i="1"/>
  <c r="LZ93" i="1"/>
  <c r="LZ92" i="1"/>
  <c r="LZ79" i="1"/>
  <c r="LZ78" i="1"/>
  <c r="LZ77" i="1"/>
  <c r="LZ76" i="1"/>
  <c r="LZ75" i="1"/>
  <c r="LZ62" i="1"/>
  <c r="LZ61" i="1"/>
  <c r="LZ60" i="1"/>
  <c r="LZ59" i="1"/>
  <c r="LZ58" i="1"/>
  <c r="LZ45" i="1"/>
  <c r="LZ44" i="1"/>
  <c r="LZ43" i="1"/>
  <c r="LZ42" i="1"/>
  <c r="LZ28" i="1"/>
  <c r="LZ27" i="1"/>
  <c r="LZ26" i="1"/>
  <c r="LZ25" i="1"/>
  <c r="LZ24" i="1"/>
  <c r="LZ11" i="1"/>
  <c r="LZ10" i="1"/>
  <c r="LZ9" i="1"/>
  <c r="LZ8" i="1"/>
  <c r="LZ7" i="1"/>
  <c r="G55" i="12"/>
  <c r="G45" i="12"/>
  <c r="G35" i="12"/>
  <c r="G25" i="12"/>
  <c r="G15" i="12"/>
  <c r="G5" i="12"/>
  <c r="G59" i="12"/>
  <c r="G57" i="12"/>
  <c r="G49" i="12"/>
  <c r="G47" i="12"/>
  <c r="G39" i="12"/>
  <c r="G37" i="12"/>
  <c r="G29" i="12"/>
  <c r="G27" i="12"/>
  <c r="G19" i="12"/>
  <c r="G17" i="12"/>
  <c r="G9" i="12"/>
  <c r="G7" i="12"/>
  <c r="LY96" i="1"/>
  <c r="LY95" i="1"/>
  <c r="LY94" i="1"/>
  <c r="LY93" i="1"/>
  <c r="LY92" i="1"/>
  <c r="LY79" i="1"/>
  <c r="LY78" i="1"/>
  <c r="LY77" i="1"/>
  <c r="LY76" i="1"/>
  <c r="LY75" i="1"/>
  <c r="LY62" i="1"/>
  <c r="LY61" i="1"/>
  <c r="LY60" i="1"/>
  <c r="LY59" i="1"/>
  <c r="LY58" i="1"/>
  <c r="LY45" i="1"/>
  <c r="LY44" i="1"/>
  <c r="LY43" i="1"/>
  <c r="LY42" i="1"/>
  <c r="LY41" i="1"/>
  <c r="LY28" i="1"/>
  <c r="LY27" i="1"/>
  <c r="LY26" i="1"/>
  <c r="LY25" i="1"/>
  <c r="LY24" i="1"/>
  <c r="LY11" i="1"/>
  <c r="LY10" i="1"/>
  <c r="LY9" i="1"/>
  <c r="LY8" i="1"/>
  <c r="LY7" i="1"/>
  <c r="G55" i="11"/>
  <c r="G45" i="11"/>
  <c r="G35" i="11"/>
  <c r="G25" i="11"/>
  <c r="G15" i="11"/>
  <c r="G5" i="11"/>
  <c r="G59" i="11"/>
  <c r="G57" i="11"/>
  <c r="G49" i="11"/>
  <c r="G47" i="11"/>
  <c r="G39" i="11"/>
  <c r="G37" i="11"/>
  <c r="G29" i="11"/>
  <c r="G27" i="11"/>
  <c r="G19" i="11"/>
  <c r="G17" i="11"/>
  <c r="G9" i="11"/>
  <c r="G7" i="11"/>
  <c r="G15" i="10"/>
  <c r="LX96" i="1"/>
  <c r="LX95" i="1"/>
  <c r="LX94" i="1"/>
  <c r="LX93" i="1"/>
  <c r="LX92" i="1"/>
  <c r="LX79" i="1"/>
  <c r="LX78" i="1"/>
  <c r="LX77" i="1"/>
  <c r="LX76" i="1"/>
  <c r="LX75" i="1"/>
  <c r="LX62" i="1"/>
  <c r="LX61" i="1"/>
  <c r="LX60" i="1"/>
  <c r="LX59" i="1"/>
  <c r="LX58" i="1"/>
  <c r="LX45" i="1"/>
  <c r="LX44" i="1"/>
  <c r="LX43" i="1"/>
  <c r="LX42" i="1"/>
  <c r="LX41" i="1"/>
  <c r="LX28" i="1"/>
  <c r="LX27" i="1"/>
  <c r="LX26" i="1"/>
  <c r="LX25" i="1"/>
  <c r="LX24" i="1"/>
  <c r="LX11" i="1"/>
  <c r="LX10" i="1"/>
  <c r="LX9" i="1"/>
  <c r="LX8" i="1"/>
  <c r="LX7" i="1"/>
  <c r="G55" i="10"/>
  <c r="G45" i="10"/>
  <c r="G35" i="10"/>
  <c r="G25" i="10"/>
  <c r="G5" i="10"/>
  <c r="G59" i="10"/>
  <c r="G57" i="10"/>
  <c r="G49" i="10"/>
  <c r="G47" i="10"/>
  <c r="G39" i="10"/>
  <c r="G37" i="10"/>
  <c r="G29" i="10"/>
  <c r="G27" i="10"/>
  <c r="G19" i="10"/>
  <c r="G17" i="10"/>
  <c r="G9" i="10"/>
  <c r="G7" i="10"/>
  <c r="LW96" i="1"/>
  <c r="LW95" i="1"/>
  <c r="LW94" i="1"/>
  <c r="LW93" i="1"/>
  <c r="LW92" i="1"/>
  <c r="LW79" i="1"/>
  <c r="LW78" i="1"/>
  <c r="LW77" i="1"/>
  <c r="LW76" i="1"/>
  <c r="LW75" i="1"/>
  <c r="LW62" i="1"/>
  <c r="LW61" i="1"/>
  <c r="LW60" i="1"/>
  <c r="LW59" i="1"/>
  <c r="LW58" i="1"/>
  <c r="LW45" i="1"/>
  <c r="LW44" i="1"/>
  <c r="LW43" i="1"/>
  <c r="LW42" i="1"/>
  <c r="LW41" i="1"/>
  <c r="LW28" i="1"/>
  <c r="LW27" i="1"/>
  <c r="LW26" i="1"/>
  <c r="LW25" i="1"/>
  <c r="LW24" i="1"/>
  <c r="LW11" i="1"/>
  <c r="LW10" i="1"/>
  <c r="LW9" i="1"/>
  <c r="LW8" i="1"/>
  <c r="LW7" i="1"/>
  <c r="G55" i="9"/>
  <c r="G45" i="9"/>
  <c r="G35" i="9"/>
  <c r="G25" i="9"/>
  <c r="G15" i="9"/>
  <c r="G5" i="9"/>
  <c r="G59" i="9"/>
  <c r="G57" i="9"/>
  <c r="G49" i="9"/>
  <c r="G47" i="9"/>
  <c r="G39" i="9"/>
  <c r="G37" i="9"/>
  <c r="G29" i="9"/>
  <c r="G27" i="9"/>
  <c r="G19" i="9"/>
  <c r="G17" i="9"/>
  <c r="G9" i="9"/>
  <c r="G7" i="9"/>
  <c r="LV96" i="1"/>
  <c r="LV95" i="1"/>
  <c r="LV94" i="1"/>
  <c r="LV93" i="1"/>
  <c r="LV92" i="1"/>
  <c r="LV79" i="1"/>
  <c r="LV78" i="1"/>
  <c r="LV77" i="1"/>
  <c r="LV76" i="1"/>
  <c r="LV75" i="1"/>
  <c r="LV62" i="1"/>
  <c r="LV61" i="1"/>
  <c r="LV60" i="1"/>
  <c r="LV59" i="1"/>
  <c r="LV58" i="1"/>
  <c r="LV45" i="1"/>
  <c r="LV44" i="1"/>
  <c r="LV43" i="1"/>
  <c r="LV42" i="1"/>
  <c r="LV41" i="1"/>
  <c r="LV28" i="1"/>
  <c r="LV27" i="1"/>
  <c r="LV26" i="1"/>
  <c r="LV25" i="1"/>
  <c r="LV24" i="1"/>
  <c r="LV11" i="1"/>
  <c r="LV10" i="1"/>
  <c r="LV9" i="1"/>
  <c r="LV8" i="1"/>
  <c r="LV7" i="1"/>
  <c r="G55" i="8"/>
  <c r="G45" i="8"/>
  <c r="G35" i="8"/>
  <c r="G25" i="8"/>
  <c r="G15" i="8"/>
  <c r="G5" i="8"/>
  <c r="G59" i="8"/>
  <c r="G57" i="8"/>
  <c r="G49" i="8"/>
  <c r="G47" i="8"/>
  <c r="G39" i="8"/>
  <c r="G37" i="8"/>
  <c r="G29" i="8"/>
  <c r="G27" i="8"/>
  <c r="G19" i="8"/>
  <c r="G17" i="8"/>
  <c r="G9" i="8"/>
  <c r="G7" i="8"/>
  <c r="LR77" i="1"/>
  <c r="LU96" i="1"/>
  <c r="LU95" i="1"/>
  <c r="LU94" i="1"/>
  <c r="LU93" i="1"/>
  <c r="LU92" i="1"/>
  <c r="LU79" i="1"/>
  <c r="LU78" i="1"/>
  <c r="LU77" i="1"/>
  <c r="LU76" i="1"/>
  <c r="LU75" i="1"/>
  <c r="LU62" i="1"/>
  <c r="LU61" i="1"/>
  <c r="LU60" i="1"/>
  <c r="LU59" i="1"/>
  <c r="LU58" i="1"/>
  <c r="LU45" i="1"/>
  <c r="LU44" i="1"/>
  <c r="LU43" i="1"/>
  <c r="LU42" i="1"/>
  <c r="LU41" i="1"/>
  <c r="LU28" i="1"/>
  <c r="LU27" i="1"/>
  <c r="LU26" i="1"/>
  <c r="LU25" i="1"/>
  <c r="LU24" i="1"/>
  <c r="LU11" i="1"/>
  <c r="LU10" i="1"/>
  <c r="LU9" i="1"/>
  <c r="LU8" i="1"/>
  <c r="LU7" i="1"/>
  <c r="G55" i="7"/>
  <c r="G45" i="7"/>
  <c r="G35" i="7"/>
  <c r="G25" i="7"/>
  <c r="G15" i="7"/>
  <c r="G5" i="7"/>
  <c r="G59" i="7"/>
  <c r="G57" i="7"/>
  <c r="G49" i="7"/>
  <c r="G47" i="7"/>
  <c r="G39" i="7"/>
  <c r="G37" i="7"/>
  <c r="G29" i="7"/>
  <c r="G27" i="7"/>
  <c r="G19" i="7"/>
  <c r="G17" i="7"/>
  <c r="G9" i="7"/>
  <c r="G7" i="7"/>
  <c r="LT96" i="1"/>
  <c r="LT95" i="1"/>
  <c r="LT94" i="1"/>
  <c r="LT93" i="1"/>
  <c r="LT92" i="1"/>
  <c r="LT79" i="1"/>
  <c r="LT78" i="1"/>
  <c r="LT77" i="1"/>
  <c r="LT76" i="1"/>
  <c r="LT75" i="1"/>
  <c r="LT62" i="1"/>
  <c r="LT61" i="1"/>
  <c r="LT60" i="1"/>
  <c r="LT59" i="1"/>
  <c r="LT58" i="1"/>
  <c r="LT45" i="1"/>
  <c r="LT44" i="1"/>
  <c r="LT43" i="1"/>
  <c r="LT42" i="1"/>
  <c r="LT41" i="1"/>
  <c r="LT28" i="1"/>
  <c r="LT27" i="1"/>
  <c r="LT26" i="1"/>
  <c r="LT25" i="1"/>
  <c r="LT24" i="1"/>
  <c r="LT11" i="1"/>
  <c r="LT10" i="1"/>
  <c r="LT9" i="1"/>
  <c r="LT8" i="1"/>
  <c r="LT7" i="1"/>
  <c r="G55" i="6"/>
  <c r="G45" i="6"/>
  <c r="G35" i="6"/>
  <c r="G25" i="6"/>
  <c r="G15" i="6"/>
  <c r="G5" i="6"/>
  <c r="G59" i="6"/>
  <c r="G57" i="6"/>
  <c r="G49" i="6"/>
  <c r="G47" i="6"/>
  <c r="G39" i="6"/>
  <c r="G37" i="6"/>
  <c r="G29" i="6"/>
  <c r="G27" i="6"/>
  <c r="G19" i="6"/>
  <c r="G17" i="6"/>
  <c r="G9" i="6"/>
  <c r="G7" i="6"/>
  <c r="G15" i="5"/>
  <c r="G55" i="5"/>
  <c r="G45" i="5"/>
  <c r="G35" i="5"/>
  <c r="G25" i="5"/>
  <c r="G5" i="5"/>
  <c r="G59" i="5"/>
  <c r="G57" i="5"/>
  <c r="G49" i="5"/>
  <c r="G47" i="5"/>
  <c r="G39" i="5"/>
  <c r="G37" i="5"/>
  <c r="G29" i="5"/>
  <c r="G27" i="5"/>
  <c r="G19" i="5"/>
  <c r="G17" i="5"/>
  <c r="G9" i="5"/>
  <c r="G7" i="5"/>
  <c r="G59" i="4"/>
  <c r="G57" i="4"/>
  <c r="G55" i="4"/>
  <c r="G49" i="4"/>
  <c r="G47" i="4"/>
  <c r="G45" i="4"/>
  <c r="G39" i="4"/>
  <c r="G37" i="4"/>
  <c r="G35" i="4"/>
  <c r="G29" i="4"/>
  <c r="G27" i="4"/>
  <c r="G25" i="4"/>
  <c r="G19" i="4"/>
  <c r="G17" i="4"/>
  <c r="G15" i="4"/>
  <c r="G9" i="4"/>
  <c r="G7" i="4"/>
  <c r="G5" i="4"/>
  <c r="LS96" i="1"/>
  <c r="LS95" i="1"/>
  <c r="LS94" i="1"/>
  <c r="LS93" i="1"/>
  <c r="LS92" i="1"/>
  <c r="LS79" i="1"/>
  <c r="LS78" i="1"/>
  <c r="LS77" i="1"/>
  <c r="LS76" i="1"/>
  <c r="LS75" i="1"/>
  <c r="LS62" i="1"/>
  <c r="LS61" i="1"/>
  <c r="LS60" i="1"/>
  <c r="LS59" i="1"/>
  <c r="LS58" i="1"/>
  <c r="LS45" i="1"/>
  <c r="LS44" i="1"/>
  <c r="LS43" i="1"/>
  <c r="LS42" i="1"/>
  <c r="LS41" i="1"/>
  <c r="LS28" i="1"/>
  <c r="LS27" i="1"/>
  <c r="LS26" i="1"/>
  <c r="LS25" i="1"/>
  <c r="LS24" i="1"/>
  <c r="LS11" i="1"/>
  <c r="LS10" i="1"/>
  <c r="LS9" i="1"/>
  <c r="LS8" i="1"/>
  <c r="LS7" i="1"/>
  <c r="W15" i="3"/>
  <c r="R15" i="3"/>
  <c r="AB10" i="3"/>
  <c r="AA10" i="3"/>
  <c r="Z10" i="3"/>
  <c r="Y10" i="3"/>
  <c r="X10" i="3"/>
  <c r="W10" i="3"/>
  <c r="V10" i="3"/>
  <c r="U10" i="3"/>
  <c r="T10" i="3"/>
  <c r="S10" i="3"/>
  <c r="R10" i="3"/>
  <c r="Q10" i="3"/>
  <c r="N10" i="3"/>
  <c r="AB9" i="3"/>
  <c r="AA9" i="3"/>
  <c r="Z9" i="3"/>
  <c r="Y9" i="3"/>
  <c r="X9" i="3"/>
  <c r="W9" i="3"/>
  <c r="V9" i="3"/>
  <c r="U9" i="3"/>
  <c r="T9" i="3"/>
  <c r="S9" i="3"/>
  <c r="R9" i="3"/>
  <c r="Q9" i="3"/>
  <c r="N9" i="3"/>
  <c r="AB8" i="3"/>
  <c r="AA8" i="3"/>
  <c r="Z8" i="3"/>
  <c r="Y8" i="3"/>
  <c r="X8" i="3"/>
  <c r="W8" i="3"/>
  <c r="V8" i="3"/>
  <c r="U8" i="3"/>
  <c r="T8" i="3"/>
  <c r="S8" i="3"/>
  <c r="R8" i="3"/>
  <c r="Q8" i="3"/>
  <c r="N8" i="3"/>
  <c r="LR96" i="1"/>
  <c r="LR95" i="1"/>
  <c r="LR94" i="1"/>
  <c r="LR93" i="1"/>
  <c r="LR92" i="1"/>
  <c r="LR79" i="1"/>
  <c r="LR78" i="1"/>
  <c r="LR76" i="1"/>
  <c r="LR75" i="1"/>
  <c r="LR62" i="1"/>
  <c r="LR61" i="1"/>
  <c r="LR60" i="1"/>
  <c r="LR59" i="1"/>
  <c r="LR58" i="1"/>
  <c r="LR45" i="1"/>
  <c r="LR44" i="1"/>
  <c r="LR43" i="1"/>
  <c r="LR42" i="1"/>
  <c r="LR41" i="1"/>
  <c r="LR28" i="1"/>
  <c r="LR27" i="1"/>
  <c r="LR26" i="1"/>
  <c r="LR25" i="1"/>
  <c r="LR24" i="1"/>
  <c r="LR11" i="1"/>
  <c r="LR10" i="1"/>
  <c r="LR9" i="1"/>
  <c r="LR8" i="1"/>
  <c r="LR7" i="1"/>
  <c r="HF102" i="1"/>
  <c r="HE102" i="1"/>
  <c r="HD102" i="1"/>
  <c r="HB102" i="1"/>
  <c r="GZ102" i="1"/>
  <c r="GY102" i="1"/>
  <c r="GX102" i="1"/>
  <c r="GW102" i="1"/>
  <c r="GV102" i="1"/>
  <c r="AW102" i="1"/>
  <c r="Z102" i="1"/>
  <c r="M102" i="1"/>
  <c r="L102" i="1"/>
  <c r="K102" i="1"/>
  <c r="J102" i="1"/>
  <c r="H102" i="1"/>
  <c r="F102" i="1"/>
  <c r="E102" i="1"/>
  <c r="D102" i="1"/>
  <c r="C102" i="1"/>
  <c r="B102" i="1"/>
  <c r="LQ96" i="1"/>
  <c r="LP96" i="1"/>
  <c r="LO96" i="1"/>
  <c r="LN96" i="1"/>
  <c r="LM96" i="1"/>
  <c r="LL96" i="1"/>
  <c r="LK96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KP96" i="1"/>
  <c r="KO96" i="1"/>
  <c r="KN96" i="1"/>
  <c r="KM96" i="1"/>
  <c r="KL96" i="1"/>
  <c r="KK96" i="1"/>
  <c r="KJ96" i="1"/>
  <c r="KI96" i="1"/>
  <c r="KH96" i="1"/>
  <c r="KG96" i="1"/>
  <c r="KF96" i="1"/>
  <c r="KE96" i="1"/>
  <c r="KD96" i="1"/>
  <c r="KC96" i="1"/>
  <c r="KB96" i="1"/>
  <c r="KA96" i="1"/>
  <c r="JZ96" i="1"/>
  <c r="JY96" i="1"/>
  <c r="JX96" i="1"/>
  <c r="JW96" i="1"/>
  <c r="JV96" i="1"/>
  <c r="JU96" i="1"/>
  <c r="JT96" i="1"/>
  <c r="JS96" i="1"/>
  <c r="JR96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A96" i="1"/>
  <c r="IZ96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G96" i="1"/>
  <c r="IF96" i="1"/>
  <c r="IE96" i="1"/>
  <c r="ID96" i="1"/>
  <c r="IC96" i="1"/>
  <c r="IB96" i="1"/>
  <c r="IA96" i="1"/>
  <c r="HZ96" i="1"/>
  <c r="HY96" i="1"/>
  <c r="HX96" i="1"/>
  <c r="HW96" i="1"/>
  <c r="HV96" i="1"/>
  <c r="HU96" i="1"/>
  <c r="HT96" i="1"/>
  <c r="HS96" i="1"/>
  <c r="HR96" i="1"/>
  <c r="HQ96" i="1"/>
  <c r="HP96" i="1"/>
  <c r="HO96" i="1"/>
  <c r="HN96" i="1"/>
  <c r="HM96" i="1"/>
  <c r="HL96" i="1"/>
  <c r="HK96" i="1"/>
  <c r="HJ96" i="1"/>
  <c r="HI96" i="1"/>
  <c r="GX96" i="1"/>
  <c r="GW96" i="1"/>
  <c r="LQ95" i="1"/>
  <c r="LP95" i="1"/>
  <c r="LO95" i="1"/>
  <c r="LN95" i="1"/>
  <c r="LM95" i="1"/>
  <c r="LL95" i="1"/>
  <c r="LK95" i="1"/>
  <c r="LJ95" i="1"/>
  <c r="LI95" i="1"/>
  <c r="LH95" i="1"/>
  <c r="LG95" i="1"/>
  <c r="LF95" i="1"/>
  <c r="LE95" i="1"/>
  <c r="LD95" i="1"/>
  <c r="LC95" i="1"/>
  <c r="LB95" i="1"/>
  <c r="LA95" i="1"/>
  <c r="KZ95" i="1"/>
  <c r="KY95" i="1"/>
  <c r="KX95" i="1"/>
  <c r="KW95" i="1"/>
  <c r="KV95" i="1"/>
  <c r="KU95" i="1"/>
  <c r="KT95" i="1"/>
  <c r="KS95" i="1"/>
  <c r="KR95" i="1"/>
  <c r="KQ95" i="1"/>
  <c r="KP95" i="1"/>
  <c r="KO95" i="1"/>
  <c r="KN95" i="1"/>
  <c r="KM95" i="1"/>
  <c r="KL95" i="1"/>
  <c r="KK95" i="1"/>
  <c r="KJ95" i="1"/>
  <c r="KI95" i="1"/>
  <c r="KH95" i="1"/>
  <c r="KG95" i="1"/>
  <c r="KF95" i="1"/>
  <c r="KE95" i="1"/>
  <c r="KD95" i="1"/>
  <c r="KC95" i="1"/>
  <c r="KB95" i="1"/>
  <c r="KA95" i="1"/>
  <c r="JZ95" i="1"/>
  <c r="JY95" i="1"/>
  <c r="JX95" i="1"/>
  <c r="JW95" i="1"/>
  <c r="JV95" i="1"/>
  <c r="JU95" i="1"/>
  <c r="JT95" i="1"/>
  <c r="JS95" i="1"/>
  <c r="JR95" i="1"/>
  <c r="JQ95" i="1"/>
  <c r="JP95" i="1"/>
  <c r="JO95" i="1"/>
  <c r="JN95" i="1"/>
  <c r="JM95" i="1"/>
  <c r="JL95" i="1"/>
  <c r="JK95" i="1"/>
  <c r="JJ95" i="1"/>
  <c r="JI95" i="1"/>
  <c r="JH95" i="1"/>
  <c r="JG95" i="1"/>
  <c r="JF95" i="1"/>
  <c r="JE95" i="1"/>
  <c r="JD95" i="1"/>
  <c r="JC95" i="1"/>
  <c r="JB95" i="1"/>
  <c r="JA95" i="1"/>
  <c r="IZ95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G95" i="1"/>
  <c r="IF95" i="1"/>
  <c r="IE95" i="1"/>
  <c r="ID95" i="1"/>
  <c r="IC95" i="1"/>
  <c r="IB95" i="1"/>
  <c r="IA95" i="1"/>
  <c r="HZ95" i="1"/>
  <c r="HY95" i="1"/>
  <c r="HX95" i="1"/>
  <c r="HW95" i="1"/>
  <c r="HV95" i="1"/>
  <c r="HU95" i="1"/>
  <c r="HT95" i="1"/>
  <c r="HS95" i="1"/>
  <c r="HR95" i="1"/>
  <c r="HQ95" i="1"/>
  <c r="HP95" i="1"/>
  <c r="HO95" i="1"/>
  <c r="HN95" i="1"/>
  <c r="HM95" i="1"/>
  <c r="HL95" i="1"/>
  <c r="HK95" i="1"/>
  <c r="HJ95" i="1"/>
  <c r="HI95" i="1"/>
  <c r="GY95" i="1"/>
  <c r="GX95" i="1"/>
  <c r="GW95" i="1"/>
  <c r="LQ94" i="1"/>
  <c r="LP94" i="1"/>
  <c r="LO94" i="1"/>
  <c r="LN94" i="1"/>
  <c r="LM94" i="1"/>
  <c r="LL94" i="1"/>
  <c r="LK94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KP94" i="1"/>
  <c r="KO94" i="1"/>
  <c r="KN94" i="1"/>
  <c r="KM94" i="1"/>
  <c r="KL94" i="1"/>
  <c r="KK94" i="1"/>
  <c r="KJ94" i="1"/>
  <c r="KI94" i="1"/>
  <c r="KH94" i="1"/>
  <c r="KG94" i="1"/>
  <c r="KF94" i="1"/>
  <c r="KE94" i="1"/>
  <c r="KD94" i="1"/>
  <c r="KC94" i="1"/>
  <c r="KB94" i="1"/>
  <c r="KA94" i="1"/>
  <c r="JZ94" i="1"/>
  <c r="JY94" i="1"/>
  <c r="JX94" i="1"/>
  <c r="JW94" i="1"/>
  <c r="JV94" i="1"/>
  <c r="JU94" i="1"/>
  <c r="JT94" i="1"/>
  <c r="JS94" i="1"/>
  <c r="JR94" i="1"/>
  <c r="JQ94" i="1"/>
  <c r="JP94" i="1"/>
  <c r="JO94" i="1"/>
  <c r="JN94" i="1"/>
  <c r="JM94" i="1"/>
  <c r="JL94" i="1"/>
  <c r="JK94" i="1"/>
  <c r="JJ94" i="1"/>
  <c r="JI94" i="1"/>
  <c r="JH94" i="1"/>
  <c r="JG94" i="1"/>
  <c r="JF94" i="1"/>
  <c r="JE94" i="1"/>
  <c r="JD94" i="1"/>
  <c r="JC94" i="1"/>
  <c r="JB94" i="1"/>
  <c r="JA94" i="1"/>
  <c r="IZ94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G94" i="1"/>
  <c r="IF94" i="1"/>
  <c r="IE94" i="1"/>
  <c r="ID94" i="1"/>
  <c r="IC94" i="1"/>
  <c r="IB94" i="1"/>
  <c r="IA94" i="1"/>
  <c r="HZ94" i="1"/>
  <c r="HY94" i="1"/>
  <c r="HX94" i="1"/>
  <c r="HW94" i="1"/>
  <c r="HV94" i="1"/>
  <c r="HU94" i="1"/>
  <c r="HT94" i="1"/>
  <c r="HS94" i="1"/>
  <c r="HR94" i="1"/>
  <c r="HQ94" i="1"/>
  <c r="HP94" i="1"/>
  <c r="HO94" i="1"/>
  <c r="HN94" i="1"/>
  <c r="HM94" i="1"/>
  <c r="HL94" i="1"/>
  <c r="HK94" i="1"/>
  <c r="HJ94" i="1"/>
  <c r="HI94" i="1"/>
  <c r="GY94" i="1"/>
  <c r="GX94" i="1"/>
  <c r="GW94" i="1"/>
  <c r="LQ93" i="1"/>
  <c r="LP93" i="1"/>
  <c r="LO93" i="1"/>
  <c r="LN93" i="1"/>
  <c r="LM93" i="1"/>
  <c r="LL93" i="1"/>
  <c r="LK93" i="1"/>
  <c r="LJ93" i="1"/>
  <c r="LI93" i="1"/>
  <c r="LH93" i="1"/>
  <c r="LG93" i="1"/>
  <c r="LF93" i="1"/>
  <c r="LE93" i="1"/>
  <c r="LQ92" i="1"/>
  <c r="LP92" i="1"/>
  <c r="LO92" i="1"/>
  <c r="LN92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KP92" i="1"/>
  <c r="KO92" i="1"/>
  <c r="KN92" i="1"/>
  <c r="KM92" i="1"/>
  <c r="KL92" i="1"/>
  <c r="KK92" i="1"/>
  <c r="KJ92" i="1"/>
  <c r="KI92" i="1"/>
  <c r="KH92" i="1"/>
  <c r="KG92" i="1"/>
  <c r="KF92" i="1"/>
  <c r="KE92" i="1"/>
  <c r="KD92" i="1"/>
  <c r="KC92" i="1"/>
  <c r="KB92" i="1"/>
  <c r="KA92" i="1"/>
  <c r="JZ92" i="1"/>
  <c r="JY92" i="1"/>
  <c r="JX92" i="1"/>
  <c r="JW92" i="1"/>
  <c r="JV92" i="1"/>
  <c r="JU92" i="1"/>
  <c r="JT92" i="1"/>
  <c r="JS92" i="1"/>
  <c r="JR92" i="1"/>
  <c r="JQ92" i="1"/>
  <c r="JP92" i="1"/>
  <c r="JO92" i="1"/>
  <c r="JN92" i="1"/>
  <c r="JM92" i="1"/>
  <c r="JL92" i="1"/>
  <c r="JK92" i="1"/>
  <c r="JJ92" i="1"/>
  <c r="JI92" i="1"/>
  <c r="JH92" i="1"/>
  <c r="JG92" i="1"/>
  <c r="JF92" i="1"/>
  <c r="JE92" i="1"/>
  <c r="JD92" i="1"/>
  <c r="JC92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HR92" i="1"/>
  <c r="HQ92" i="1"/>
  <c r="HP92" i="1"/>
  <c r="HO92" i="1"/>
  <c r="HN92" i="1"/>
  <c r="HM92" i="1"/>
  <c r="HL92" i="1"/>
  <c r="HK92" i="1"/>
  <c r="HJ92" i="1"/>
  <c r="HI92" i="1"/>
  <c r="GY92" i="1"/>
  <c r="GX92" i="1"/>
  <c r="GW92" i="1"/>
  <c r="HF85" i="1"/>
  <c r="HE85" i="1"/>
  <c r="HD85" i="1"/>
  <c r="HB85" i="1"/>
  <c r="GZ85" i="1"/>
  <c r="GY85" i="1"/>
  <c r="GX85" i="1"/>
  <c r="GW85" i="1"/>
  <c r="GV85" i="1"/>
  <c r="AW85" i="1"/>
  <c r="Z85" i="1"/>
  <c r="M85" i="1"/>
  <c r="L85" i="1"/>
  <c r="K85" i="1"/>
  <c r="J85" i="1"/>
  <c r="H85" i="1"/>
  <c r="F85" i="1"/>
  <c r="E85" i="1"/>
  <c r="D85" i="1"/>
  <c r="C85" i="1"/>
  <c r="B85" i="1"/>
  <c r="LQ79" i="1"/>
  <c r="LP79" i="1"/>
  <c r="LO79" i="1"/>
  <c r="LN79" i="1"/>
  <c r="LM79" i="1"/>
  <c r="LL79" i="1"/>
  <c r="LK79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O79" i="1"/>
  <c r="KN79" i="1"/>
  <c r="KM79" i="1"/>
  <c r="KL79" i="1"/>
  <c r="KK79" i="1"/>
  <c r="KJ79" i="1"/>
  <c r="KI79" i="1"/>
  <c r="KH79" i="1"/>
  <c r="KG79" i="1"/>
  <c r="KF79" i="1"/>
  <c r="KE79" i="1"/>
  <c r="KD79" i="1"/>
  <c r="KC79" i="1"/>
  <c r="KB79" i="1"/>
  <c r="KA79" i="1"/>
  <c r="JZ79" i="1"/>
  <c r="JY79" i="1"/>
  <c r="JX79" i="1"/>
  <c r="JW79" i="1"/>
  <c r="JV79" i="1"/>
  <c r="JU79" i="1"/>
  <c r="JT79" i="1"/>
  <c r="JS79" i="1"/>
  <c r="JR79" i="1"/>
  <c r="JQ79" i="1"/>
  <c r="JP79" i="1"/>
  <c r="JO79" i="1"/>
  <c r="JN79" i="1"/>
  <c r="JM79" i="1"/>
  <c r="JL79" i="1"/>
  <c r="JK79" i="1"/>
  <c r="JJ79" i="1"/>
  <c r="JI79" i="1"/>
  <c r="JH79" i="1"/>
  <c r="JG79" i="1"/>
  <c r="JF79" i="1"/>
  <c r="JE79" i="1"/>
  <c r="JD79" i="1"/>
  <c r="JC79" i="1"/>
  <c r="JB79" i="1"/>
  <c r="JA79" i="1"/>
  <c r="IZ79" i="1"/>
  <c r="IY79" i="1"/>
  <c r="IX79" i="1"/>
  <c r="IW79" i="1"/>
  <c r="IV79" i="1"/>
  <c r="IU79" i="1"/>
  <c r="IT79" i="1"/>
  <c r="IS79" i="1"/>
  <c r="IR79" i="1"/>
  <c r="IQ79" i="1"/>
  <c r="IP79" i="1"/>
  <c r="IO79" i="1"/>
  <c r="IN79" i="1"/>
  <c r="IM79" i="1"/>
  <c r="IL79" i="1"/>
  <c r="IK79" i="1"/>
  <c r="IJ79" i="1"/>
  <c r="II79" i="1"/>
  <c r="IH79" i="1"/>
  <c r="IG79" i="1"/>
  <c r="IF79" i="1"/>
  <c r="IE79" i="1"/>
  <c r="ID79" i="1"/>
  <c r="IC79" i="1"/>
  <c r="IB79" i="1"/>
  <c r="IA79" i="1"/>
  <c r="HZ79" i="1"/>
  <c r="HY79" i="1"/>
  <c r="HX79" i="1"/>
  <c r="HW79" i="1"/>
  <c r="HV79" i="1"/>
  <c r="HU79" i="1"/>
  <c r="HT79" i="1"/>
  <c r="HS79" i="1"/>
  <c r="HR79" i="1"/>
  <c r="HQ79" i="1"/>
  <c r="HP79" i="1"/>
  <c r="HO79" i="1"/>
  <c r="HN79" i="1"/>
  <c r="HM79" i="1"/>
  <c r="HL79" i="1"/>
  <c r="HK79" i="1"/>
  <c r="HJ79" i="1"/>
  <c r="HI79" i="1"/>
  <c r="GY79" i="1"/>
  <c r="GX79" i="1"/>
  <c r="GW79" i="1"/>
  <c r="LQ78" i="1"/>
  <c r="LP78" i="1"/>
  <c r="LO78" i="1"/>
  <c r="LN78" i="1"/>
  <c r="LM78" i="1"/>
  <c r="LL78" i="1"/>
  <c r="LK78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KP78" i="1"/>
  <c r="KO78" i="1"/>
  <c r="KN78" i="1"/>
  <c r="KM78" i="1"/>
  <c r="KL78" i="1"/>
  <c r="KK78" i="1"/>
  <c r="KJ78" i="1"/>
  <c r="KI78" i="1"/>
  <c r="KH78" i="1"/>
  <c r="KG78" i="1"/>
  <c r="KF78" i="1"/>
  <c r="KE78" i="1"/>
  <c r="KD78" i="1"/>
  <c r="KC78" i="1"/>
  <c r="KB78" i="1"/>
  <c r="KA78" i="1"/>
  <c r="JZ78" i="1"/>
  <c r="JY78" i="1"/>
  <c r="JX78" i="1"/>
  <c r="JW78" i="1"/>
  <c r="JV78" i="1"/>
  <c r="JU78" i="1"/>
  <c r="JT78" i="1"/>
  <c r="JS78" i="1"/>
  <c r="JR78" i="1"/>
  <c r="JQ78" i="1"/>
  <c r="JP78" i="1"/>
  <c r="JO78" i="1"/>
  <c r="JN78" i="1"/>
  <c r="JM78" i="1"/>
  <c r="JL78" i="1"/>
  <c r="JK78" i="1"/>
  <c r="JJ78" i="1"/>
  <c r="JI78" i="1"/>
  <c r="JH78" i="1"/>
  <c r="JG78" i="1"/>
  <c r="JF78" i="1"/>
  <c r="JE78" i="1"/>
  <c r="JD78" i="1"/>
  <c r="JC78" i="1"/>
  <c r="JB78" i="1"/>
  <c r="JA78" i="1"/>
  <c r="IZ78" i="1"/>
  <c r="IY78" i="1"/>
  <c r="IX78" i="1"/>
  <c r="IW78" i="1"/>
  <c r="IV78" i="1"/>
  <c r="IU78" i="1"/>
  <c r="IT78" i="1"/>
  <c r="IS78" i="1"/>
  <c r="IR78" i="1"/>
  <c r="IQ78" i="1"/>
  <c r="IP78" i="1"/>
  <c r="IO78" i="1"/>
  <c r="IN78" i="1"/>
  <c r="IM78" i="1"/>
  <c r="IL78" i="1"/>
  <c r="IK78" i="1"/>
  <c r="IJ78" i="1"/>
  <c r="II78" i="1"/>
  <c r="IH78" i="1"/>
  <c r="IG78" i="1"/>
  <c r="IF78" i="1"/>
  <c r="IE78" i="1"/>
  <c r="ID78" i="1"/>
  <c r="IC78" i="1"/>
  <c r="IB78" i="1"/>
  <c r="IA78" i="1"/>
  <c r="HZ78" i="1"/>
  <c r="HY78" i="1"/>
  <c r="HX78" i="1"/>
  <c r="HW78" i="1"/>
  <c r="HV78" i="1"/>
  <c r="HU78" i="1"/>
  <c r="HT78" i="1"/>
  <c r="HS78" i="1"/>
  <c r="HR78" i="1"/>
  <c r="HQ78" i="1"/>
  <c r="HP78" i="1"/>
  <c r="HO78" i="1"/>
  <c r="HN78" i="1"/>
  <c r="HM78" i="1"/>
  <c r="HL78" i="1"/>
  <c r="HK78" i="1"/>
  <c r="HJ78" i="1"/>
  <c r="HI78" i="1"/>
  <c r="GY78" i="1"/>
  <c r="GX78" i="1"/>
  <c r="GW78" i="1"/>
  <c r="LQ77" i="1"/>
  <c r="LP77" i="1"/>
  <c r="LO77" i="1"/>
  <c r="LN77" i="1"/>
  <c r="LM77" i="1"/>
  <c r="LL77" i="1"/>
  <c r="LK77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KP77" i="1"/>
  <c r="KO77" i="1"/>
  <c r="KN77" i="1"/>
  <c r="KM77" i="1"/>
  <c r="KL77" i="1"/>
  <c r="KK77" i="1"/>
  <c r="KJ77" i="1"/>
  <c r="KI77" i="1"/>
  <c r="KH77" i="1"/>
  <c r="KG77" i="1"/>
  <c r="KF77" i="1"/>
  <c r="KE77" i="1"/>
  <c r="KD77" i="1"/>
  <c r="KC77" i="1"/>
  <c r="KB77" i="1"/>
  <c r="KA77" i="1"/>
  <c r="JZ77" i="1"/>
  <c r="JY77" i="1"/>
  <c r="JX77" i="1"/>
  <c r="JW77" i="1"/>
  <c r="JV77" i="1"/>
  <c r="JU77" i="1"/>
  <c r="JT77" i="1"/>
  <c r="JS77" i="1"/>
  <c r="JR77" i="1"/>
  <c r="JQ77" i="1"/>
  <c r="JP77" i="1"/>
  <c r="JO77" i="1"/>
  <c r="JN77" i="1"/>
  <c r="JM77" i="1"/>
  <c r="JL77" i="1"/>
  <c r="JK77" i="1"/>
  <c r="JJ77" i="1"/>
  <c r="JI77" i="1"/>
  <c r="JH77" i="1"/>
  <c r="JG77" i="1"/>
  <c r="JF77" i="1"/>
  <c r="JE77" i="1"/>
  <c r="JD77" i="1"/>
  <c r="JC77" i="1"/>
  <c r="JB77" i="1"/>
  <c r="JA77" i="1"/>
  <c r="IZ77" i="1"/>
  <c r="IY77" i="1"/>
  <c r="IX77" i="1"/>
  <c r="IW77" i="1"/>
  <c r="IV77" i="1"/>
  <c r="IU77" i="1"/>
  <c r="IT77" i="1"/>
  <c r="IS77" i="1"/>
  <c r="IR77" i="1"/>
  <c r="IQ77" i="1"/>
  <c r="IP77" i="1"/>
  <c r="IO77" i="1"/>
  <c r="IN77" i="1"/>
  <c r="IM77" i="1"/>
  <c r="IL77" i="1"/>
  <c r="IK77" i="1"/>
  <c r="IJ77" i="1"/>
  <c r="II77" i="1"/>
  <c r="IH77" i="1"/>
  <c r="IG77" i="1"/>
  <c r="IF77" i="1"/>
  <c r="IE77" i="1"/>
  <c r="ID77" i="1"/>
  <c r="IC77" i="1"/>
  <c r="IB77" i="1"/>
  <c r="IA77" i="1"/>
  <c r="HZ77" i="1"/>
  <c r="HY77" i="1"/>
  <c r="HX77" i="1"/>
  <c r="HW77" i="1"/>
  <c r="HV77" i="1"/>
  <c r="HU77" i="1"/>
  <c r="HT77" i="1"/>
  <c r="HS77" i="1"/>
  <c r="HR77" i="1"/>
  <c r="HQ77" i="1"/>
  <c r="HP77" i="1"/>
  <c r="HO77" i="1"/>
  <c r="HN77" i="1"/>
  <c r="HM77" i="1"/>
  <c r="HL77" i="1"/>
  <c r="HK77" i="1"/>
  <c r="HJ77" i="1"/>
  <c r="HI77" i="1"/>
  <c r="GY77" i="1"/>
  <c r="GX77" i="1"/>
  <c r="GW77" i="1"/>
  <c r="LQ76" i="1"/>
  <c r="LP76" i="1"/>
  <c r="LO76" i="1"/>
  <c r="LN76" i="1"/>
  <c r="LM76" i="1"/>
  <c r="LL76" i="1"/>
  <c r="LK76" i="1"/>
  <c r="LJ76" i="1"/>
  <c r="LI76" i="1"/>
  <c r="LH76" i="1"/>
  <c r="LG76" i="1"/>
  <c r="LF76" i="1"/>
  <c r="LE76" i="1"/>
  <c r="LQ75" i="1"/>
  <c r="LP75" i="1"/>
  <c r="LO75" i="1"/>
  <c r="LN75" i="1"/>
  <c r="LM75" i="1"/>
  <c r="LL75" i="1"/>
  <c r="LK75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KP75" i="1"/>
  <c r="KO75" i="1"/>
  <c r="KN75" i="1"/>
  <c r="KM75" i="1"/>
  <c r="KL75" i="1"/>
  <c r="KK75" i="1"/>
  <c r="KJ75" i="1"/>
  <c r="KI75" i="1"/>
  <c r="KH75" i="1"/>
  <c r="KG75" i="1"/>
  <c r="KF75" i="1"/>
  <c r="KE75" i="1"/>
  <c r="KD75" i="1"/>
  <c r="KC75" i="1"/>
  <c r="KB75" i="1"/>
  <c r="KA75" i="1"/>
  <c r="JZ75" i="1"/>
  <c r="JY75" i="1"/>
  <c r="JX75" i="1"/>
  <c r="JW75" i="1"/>
  <c r="JV75" i="1"/>
  <c r="JU75" i="1"/>
  <c r="JT75" i="1"/>
  <c r="JS75" i="1"/>
  <c r="JR75" i="1"/>
  <c r="JQ75" i="1"/>
  <c r="JP75" i="1"/>
  <c r="JO75" i="1"/>
  <c r="JN75" i="1"/>
  <c r="JM75" i="1"/>
  <c r="JL75" i="1"/>
  <c r="JK75" i="1"/>
  <c r="JJ75" i="1"/>
  <c r="JI75" i="1"/>
  <c r="JH75" i="1"/>
  <c r="JG75" i="1"/>
  <c r="JF75" i="1"/>
  <c r="JE75" i="1"/>
  <c r="JD75" i="1"/>
  <c r="JC75" i="1"/>
  <c r="JB75" i="1"/>
  <c r="JA75" i="1"/>
  <c r="IZ75" i="1"/>
  <c r="IY75" i="1"/>
  <c r="IX75" i="1"/>
  <c r="IW75" i="1"/>
  <c r="IV75" i="1"/>
  <c r="IU75" i="1"/>
  <c r="IT75" i="1"/>
  <c r="IS75" i="1"/>
  <c r="IR75" i="1"/>
  <c r="IQ75" i="1"/>
  <c r="IP75" i="1"/>
  <c r="IO75" i="1"/>
  <c r="IN75" i="1"/>
  <c r="IM75" i="1"/>
  <c r="IL75" i="1"/>
  <c r="IK75" i="1"/>
  <c r="IJ75" i="1"/>
  <c r="II75" i="1"/>
  <c r="IH75" i="1"/>
  <c r="IG75" i="1"/>
  <c r="IF75" i="1"/>
  <c r="IE75" i="1"/>
  <c r="ID75" i="1"/>
  <c r="IC75" i="1"/>
  <c r="IB75" i="1"/>
  <c r="IA75" i="1"/>
  <c r="HZ75" i="1"/>
  <c r="HY75" i="1"/>
  <c r="HX75" i="1"/>
  <c r="HW75" i="1"/>
  <c r="HV75" i="1"/>
  <c r="HU75" i="1"/>
  <c r="HT75" i="1"/>
  <c r="HS75" i="1"/>
  <c r="HR75" i="1"/>
  <c r="HQ75" i="1"/>
  <c r="HP75" i="1"/>
  <c r="HO75" i="1"/>
  <c r="HN75" i="1"/>
  <c r="HM75" i="1"/>
  <c r="HL75" i="1"/>
  <c r="HK75" i="1"/>
  <c r="HJ75" i="1"/>
  <c r="HI75" i="1"/>
  <c r="GY75" i="1"/>
  <c r="GX75" i="1"/>
  <c r="GW75" i="1"/>
  <c r="HF68" i="1"/>
  <c r="HE68" i="1"/>
  <c r="HD68" i="1"/>
  <c r="HB68" i="1"/>
  <c r="GZ68" i="1"/>
  <c r="GY68" i="1"/>
  <c r="GX68" i="1"/>
  <c r="GW68" i="1"/>
  <c r="GV68" i="1"/>
  <c r="AW68" i="1"/>
  <c r="Z68" i="1"/>
  <c r="M68" i="1"/>
  <c r="L68" i="1"/>
  <c r="J68" i="1"/>
  <c r="H68" i="1"/>
  <c r="F68" i="1"/>
  <c r="E68" i="1"/>
  <c r="D68" i="1"/>
  <c r="C68" i="1"/>
  <c r="B68" i="1"/>
  <c r="LQ62" i="1"/>
  <c r="LP62" i="1"/>
  <c r="LO62" i="1"/>
  <c r="LN62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GY62" i="1"/>
  <c r="GX62" i="1"/>
  <c r="GW62" i="1"/>
  <c r="LQ61" i="1"/>
  <c r="LP61" i="1"/>
  <c r="LO61" i="1"/>
  <c r="LN61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M61" i="1"/>
  <c r="JL61" i="1"/>
  <c r="JK61" i="1"/>
  <c r="JJ61" i="1"/>
  <c r="JI61" i="1"/>
  <c r="JH61" i="1"/>
  <c r="JG61" i="1"/>
  <c r="JF61" i="1"/>
  <c r="JE61" i="1"/>
  <c r="JD61" i="1"/>
  <c r="JC6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GY61" i="1"/>
  <c r="GX61" i="1"/>
  <c r="GW61" i="1"/>
  <c r="LQ60" i="1"/>
  <c r="LP60" i="1"/>
  <c r="LO60" i="1"/>
  <c r="LN60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KP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JV60" i="1"/>
  <c r="JU60" i="1"/>
  <c r="JT60" i="1"/>
  <c r="JS60" i="1"/>
  <c r="JR60" i="1"/>
  <c r="JQ60" i="1"/>
  <c r="JP60" i="1"/>
  <c r="JO60" i="1"/>
  <c r="JN60" i="1"/>
  <c r="JM60" i="1"/>
  <c r="JL60" i="1"/>
  <c r="JK60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GY60" i="1"/>
  <c r="GX60" i="1"/>
  <c r="GW60" i="1"/>
  <c r="LQ59" i="1"/>
  <c r="LP59" i="1"/>
  <c r="LO59" i="1"/>
  <c r="LN59" i="1"/>
  <c r="LM59" i="1"/>
  <c r="LL59" i="1"/>
  <c r="LK59" i="1"/>
  <c r="LJ59" i="1"/>
  <c r="LI59" i="1"/>
  <c r="LH59" i="1"/>
  <c r="LG59" i="1"/>
  <c r="LF59" i="1"/>
  <c r="LE59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GX58" i="1"/>
  <c r="GW58" i="1"/>
  <c r="HF51" i="1"/>
  <c r="HE51" i="1"/>
  <c r="HD51" i="1"/>
  <c r="HB51" i="1"/>
  <c r="HA51" i="1"/>
  <c r="GZ51" i="1"/>
  <c r="GY51" i="1"/>
  <c r="GX51" i="1"/>
  <c r="GW51" i="1"/>
  <c r="GV51" i="1"/>
  <c r="AW51" i="1"/>
  <c r="Z51" i="1"/>
  <c r="M51" i="1"/>
  <c r="L51" i="1"/>
  <c r="J51" i="1"/>
  <c r="H51" i="1"/>
  <c r="G51" i="1"/>
  <c r="F51" i="1"/>
  <c r="E51" i="1"/>
  <c r="D51" i="1"/>
  <c r="C51" i="1"/>
  <c r="B51" i="1"/>
  <c r="LQ45" i="1"/>
  <c r="LP45" i="1"/>
  <c r="LO45" i="1"/>
  <c r="LN45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GY45" i="1"/>
  <c r="GX45" i="1"/>
  <c r="GW45" i="1"/>
  <c r="HG45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GY44" i="1"/>
  <c r="GX44" i="1"/>
  <c r="GW44" i="1"/>
  <c r="LQ43" i="1"/>
  <c r="LP43" i="1"/>
  <c r="LO43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GY43" i="1"/>
  <c r="GX43" i="1"/>
  <c r="GW43" i="1"/>
  <c r="LQ42" i="1"/>
  <c r="LP42" i="1"/>
  <c r="LO42" i="1"/>
  <c r="LN42" i="1"/>
  <c r="LM42" i="1"/>
  <c r="LL42" i="1"/>
  <c r="LK42" i="1"/>
  <c r="LJ42" i="1"/>
  <c r="LI42" i="1"/>
  <c r="LH42" i="1"/>
  <c r="LG42" i="1"/>
  <c r="LF42" i="1"/>
  <c r="LE42" i="1"/>
  <c r="LQ41" i="1"/>
  <c r="LP41" i="1"/>
  <c r="LO41" i="1"/>
  <c r="LN41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GY41" i="1"/>
  <c r="GX41" i="1"/>
  <c r="GW41" i="1"/>
  <c r="HF34" i="1"/>
  <c r="HE34" i="1"/>
  <c r="HD34" i="1"/>
  <c r="HB34" i="1"/>
  <c r="HA34" i="1"/>
  <c r="GZ34" i="1"/>
  <c r="GY34" i="1"/>
  <c r="GX34" i="1"/>
  <c r="GW34" i="1"/>
  <c r="GV34" i="1"/>
  <c r="AW34" i="1"/>
  <c r="L34" i="1"/>
  <c r="K34" i="1"/>
  <c r="J34" i="1"/>
  <c r="H34" i="1"/>
  <c r="G34" i="1"/>
  <c r="F34" i="1"/>
  <c r="E34" i="1"/>
  <c r="D34" i="1"/>
  <c r="C34" i="1"/>
  <c r="B34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LQ26" i="1"/>
  <c r="LP26" i="1"/>
  <c r="LO26" i="1"/>
  <c r="LN26" i="1"/>
  <c r="LM26" i="1"/>
  <c r="LL26" i="1"/>
  <c r="LK26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KP26" i="1"/>
  <c r="KO26" i="1"/>
  <c r="KN26" i="1"/>
  <c r="KM26" i="1"/>
  <c r="KL26" i="1"/>
  <c r="KK26" i="1"/>
  <c r="KJ26" i="1"/>
  <c r="KI26" i="1"/>
  <c r="KH26" i="1"/>
  <c r="KG26" i="1"/>
  <c r="KF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LQ25" i="1"/>
  <c r="LP25" i="1"/>
  <c r="LO25" i="1"/>
  <c r="LN25" i="1"/>
  <c r="LM25" i="1"/>
  <c r="LL25" i="1"/>
  <c r="LK25" i="1"/>
  <c r="LJ25" i="1"/>
  <c r="LI25" i="1"/>
  <c r="LH25" i="1"/>
  <c r="LG25" i="1"/>
  <c r="LF25" i="1"/>
  <c r="LE25" i="1"/>
  <c r="LQ24" i="1"/>
  <c r="LP24" i="1"/>
  <c r="LO24" i="1"/>
  <c r="LN24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KP24" i="1"/>
  <c r="KO24" i="1"/>
  <c r="KN24" i="1"/>
  <c r="KM24" i="1"/>
  <c r="KL24" i="1"/>
  <c r="KK24" i="1"/>
  <c r="KJ24" i="1"/>
  <c r="KI24" i="1"/>
  <c r="KH24" i="1"/>
  <c r="KG24" i="1"/>
  <c r="KF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F17" i="1"/>
  <c r="HE17" i="1"/>
  <c r="HD17" i="1"/>
  <c r="HB17" i="1"/>
  <c r="HA17" i="1"/>
  <c r="GZ17" i="1"/>
  <c r="GY17" i="1"/>
  <c r="GX17" i="1"/>
  <c r="GW17" i="1"/>
  <c r="GV17" i="1"/>
  <c r="AW17" i="1"/>
  <c r="AE17" i="1"/>
  <c r="Z17" i="1"/>
  <c r="M17" i="1"/>
  <c r="L17" i="1"/>
  <c r="J17" i="1"/>
  <c r="H17" i="1"/>
  <c r="G17" i="1"/>
  <c r="F17" i="1"/>
  <c r="E17" i="1"/>
  <c r="D17" i="1"/>
  <c r="C17" i="1"/>
  <c r="B17" i="1"/>
  <c r="LQ11" i="1"/>
  <c r="LP11" i="1"/>
  <c r="LO11" i="1"/>
  <c r="LN11" i="1"/>
  <c r="LM11" i="1"/>
  <c r="LL11" i="1"/>
  <c r="LK11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KP11" i="1"/>
  <c r="KO11" i="1"/>
  <c r="KN11" i="1"/>
  <c r="KM11" i="1"/>
  <c r="KL11" i="1"/>
  <c r="KK11" i="1"/>
  <c r="KJ11" i="1"/>
  <c r="KI11" i="1"/>
  <c r="KH11" i="1"/>
  <c r="KG11" i="1"/>
  <c r="KF11" i="1"/>
  <c r="KE11" i="1"/>
  <c r="KD11" i="1"/>
  <c r="KC11" i="1"/>
  <c r="KB11" i="1"/>
  <c r="KA11" i="1"/>
  <c r="JZ11" i="1"/>
  <c r="JY11" i="1"/>
  <c r="JX11" i="1"/>
  <c r="JW11" i="1"/>
  <c r="JV11" i="1"/>
  <c r="JU11" i="1"/>
  <c r="JT11" i="1"/>
  <c r="JS11" i="1"/>
  <c r="JR11" i="1"/>
  <c r="JQ11" i="1"/>
  <c r="JP11" i="1"/>
  <c r="JO11" i="1"/>
  <c r="JN11" i="1"/>
  <c r="JM11" i="1"/>
  <c r="JL11" i="1"/>
  <c r="JK11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X11" i="1"/>
  <c r="IW11" i="1"/>
  <c r="IV11" i="1"/>
  <c r="IU11" i="1"/>
  <c r="IT11" i="1"/>
  <c r="IS11" i="1"/>
  <c r="IR11" i="1"/>
  <c r="IQ11" i="1"/>
  <c r="IP11" i="1"/>
  <c r="IO11" i="1"/>
  <c r="IN11" i="1"/>
  <c r="IM11" i="1"/>
  <c r="IL11" i="1"/>
  <c r="IK11" i="1"/>
  <c r="IJ11" i="1"/>
  <c r="II11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V11" i="1"/>
  <c r="HU11" i="1"/>
  <c r="HT11" i="1"/>
  <c r="HS11" i="1"/>
  <c r="HR11" i="1"/>
  <c r="HQ11" i="1"/>
  <c r="HP11" i="1"/>
  <c r="HO11" i="1"/>
  <c r="HN11" i="1"/>
  <c r="HM11" i="1"/>
  <c r="HL11" i="1"/>
  <c r="HK11" i="1"/>
  <c r="HJ11" i="1"/>
  <c r="HI11" i="1"/>
  <c r="HC11" i="1"/>
  <c r="LQ10" i="1"/>
  <c r="LP10" i="1"/>
  <c r="LO10" i="1"/>
  <c r="LN10" i="1"/>
  <c r="LM10" i="1"/>
  <c r="LL10" i="1"/>
  <c r="LK10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KP10" i="1"/>
  <c r="KO10" i="1"/>
  <c r="KN10" i="1"/>
  <c r="KM10" i="1"/>
  <c r="KL10" i="1"/>
  <c r="KK10" i="1"/>
  <c r="KJ10" i="1"/>
  <c r="KI10" i="1"/>
  <c r="KH10" i="1"/>
  <c r="KG10" i="1"/>
  <c r="KF10" i="1"/>
  <c r="KE10" i="1"/>
  <c r="KD10" i="1"/>
  <c r="KC10" i="1"/>
  <c r="KB10" i="1"/>
  <c r="KA10" i="1"/>
  <c r="JZ10" i="1"/>
  <c r="JY10" i="1"/>
  <c r="JX10" i="1"/>
  <c r="JW10" i="1"/>
  <c r="JV10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E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Q7" i="1"/>
  <c r="LP7" i="1"/>
  <c r="LO7" i="1"/>
  <c r="LN7" i="1"/>
  <c r="LM7" i="1"/>
  <c r="LL7" i="1"/>
  <c r="LK7" i="1"/>
  <c r="LJ7" i="1"/>
  <c r="LI7" i="1"/>
  <c r="LH7" i="1"/>
  <c r="LG7" i="1"/>
  <c r="LF7" i="1"/>
  <c r="LE7" i="1"/>
  <c r="LD7" i="1"/>
  <c r="LC7" i="1"/>
  <c r="LB7" i="1"/>
  <c r="LA7" i="1"/>
  <c r="KZ7" i="1"/>
  <c r="KY7" i="1"/>
  <c r="KX7" i="1"/>
  <c r="KW7" i="1"/>
  <c r="KV7" i="1"/>
  <c r="KU7" i="1"/>
  <c r="KT7" i="1"/>
  <c r="KS7" i="1"/>
  <c r="KR7" i="1"/>
  <c r="KQ7" i="1"/>
  <c r="KP7" i="1"/>
  <c r="KO7" i="1"/>
  <c r="KN7" i="1"/>
  <c r="KM7" i="1"/>
  <c r="KL7" i="1"/>
  <c r="KK7" i="1"/>
  <c r="KJ7" i="1"/>
  <c r="KI7" i="1"/>
  <c r="KH7" i="1"/>
  <c r="KG7" i="1"/>
  <c r="KF7" i="1"/>
  <c r="KE7" i="1"/>
  <c r="KD7" i="1"/>
  <c r="KC7" i="1"/>
  <c r="KB7" i="1"/>
  <c r="KA7" i="1"/>
  <c r="JZ7" i="1"/>
  <c r="JY7" i="1"/>
  <c r="JX7" i="1"/>
  <c r="JW7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9" i="1"/>
  <c r="GY96" i="1" l="1"/>
  <c r="HG43" i="1"/>
  <c r="GZ92" i="1"/>
  <c r="HF45" i="1"/>
  <c r="HE95" i="1"/>
  <c r="GZ75" i="1"/>
  <c r="HD95" i="1"/>
  <c r="HH43" i="1"/>
  <c r="GZ45" i="1"/>
  <c r="HE41" i="1"/>
  <c r="HA92" i="1"/>
  <c r="GZ95" i="1"/>
  <c r="HB79" i="1"/>
  <c r="HG11" i="1"/>
  <c r="HE75" i="1"/>
  <c r="HF7" i="1"/>
  <c r="HA7" i="1"/>
  <c r="GW7" i="1"/>
  <c r="HE9" i="1"/>
  <c r="GZ9" i="1"/>
  <c r="GY10" i="1"/>
  <c r="HB11" i="1"/>
  <c r="GX11" i="1"/>
  <c r="HA24" i="1"/>
  <c r="GW24" i="1"/>
  <c r="HE26" i="1"/>
  <c r="GZ26" i="1"/>
  <c r="HA28" i="1"/>
  <c r="HF75" i="1"/>
  <c r="HE77" i="1"/>
  <c r="GZ96" i="1"/>
  <c r="GZ7" i="1"/>
  <c r="HG10" i="1"/>
  <c r="HF11" i="1"/>
  <c r="HA11" i="1"/>
  <c r="HA96" i="1"/>
  <c r="GZ58" i="1"/>
  <c r="GZ60" i="1"/>
  <c r="HG77" i="1"/>
  <c r="HB77" i="1"/>
  <c r="HF78" i="1"/>
  <c r="HG95" i="1"/>
  <c r="GY58" i="1"/>
  <c r="HE92" i="1"/>
  <c r="HF9" i="1"/>
  <c r="GZ10" i="1"/>
  <c r="HA26" i="1"/>
  <c r="GW26" i="1"/>
  <c r="HE27" i="1"/>
  <c r="HF41" i="1"/>
  <c r="HA41" i="1"/>
  <c r="HE43" i="1"/>
  <c r="HB45" i="1"/>
  <c r="HG58" i="1"/>
  <c r="HF60" i="1"/>
  <c r="HE61" i="1"/>
  <c r="HA95" i="1"/>
  <c r="HF96" i="1"/>
  <c r="HF28" i="1"/>
  <c r="GZ24" i="1"/>
  <c r="GY26" i="1"/>
  <c r="HB27" i="1"/>
  <c r="GX27" i="1"/>
  <c r="HB43" i="1"/>
  <c r="GY27" i="1"/>
  <c r="HA45" i="1"/>
  <c r="HF58" i="1"/>
  <c r="HA58" i="1"/>
  <c r="HE60" i="1"/>
  <c r="HA75" i="1"/>
  <c r="HG79" i="1"/>
  <c r="HF92" i="1"/>
  <c r="HE96" i="1"/>
  <c r="HE58" i="1"/>
  <c r="HG61" i="1"/>
  <c r="HG78" i="1"/>
  <c r="HB78" i="1"/>
  <c r="HF79" i="1"/>
  <c r="HB41" i="1"/>
  <c r="HE78" i="1"/>
  <c r="HG96" i="1"/>
  <c r="HG75" i="1"/>
  <c r="HC45" i="1"/>
  <c r="HG7" i="1"/>
  <c r="HG41" i="1"/>
  <c r="GZ43" i="1"/>
  <c r="GZ61" i="1"/>
  <c r="GZ78" i="1"/>
  <c r="GZ94" i="1"/>
  <c r="HB75" i="1"/>
  <c r="HB7" i="1"/>
  <c r="HA9" i="1"/>
  <c r="HE10" i="1"/>
  <c r="HG24" i="1"/>
  <c r="HB28" i="1"/>
  <c r="GX28" i="1"/>
  <c r="HB96" i="1"/>
  <c r="HG92" i="1"/>
  <c r="HE11" i="1"/>
  <c r="HH58" i="1"/>
  <c r="HB24" i="1"/>
  <c r="HA10" i="1"/>
  <c r="HB10" i="1"/>
  <c r="HA27" i="1"/>
  <c r="GW9" i="1"/>
  <c r="GZ41" i="1"/>
  <c r="HA60" i="1"/>
  <c r="HF77" i="1"/>
  <c r="GZ77" i="1"/>
  <c r="HB92" i="1"/>
  <c r="HF95" i="1"/>
  <c r="HB26" i="1"/>
  <c r="HG9" i="1"/>
  <c r="HE28" i="1"/>
  <c r="GZ28" i="1"/>
  <c r="GZ27" i="1"/>
  <c r="HG62" i="1"/>
  <c r="HA77" i="1"/>
  <c r="HB44" i="1"/>
  <c r="GW28" i="1"/>
  <c r="HE94" i="1"/>
  <c r="HF26" i="1"/>
  <c r="GX24" i="1"/>
  <c r="HB58" i="1"/>
  <c r="HB62" i="1"/>
  <c r="GX7" i="1"/>
  <c r="GY11" i="1"/>
  <c r="HF24" i="1"/>
  <c r="HG44" i="1"/>
  <c r="HB9" i="1"/>
  <c r="GX9" i="1"/>
  <c r="HF10" i="1"/>
  <c r="GW10" i="1"/>
  <c r="GZ11" i="1"/>
  <c r="GY24" i="1"/>
  <c r="HF27" i="1"/>
  <c r="HF43" i="1"/>
  <c r="HB60" i="1"/>
  <c r="HA61" i="1"/>
  <c r="HE62" i="1"/>
  <c r="HF94" i="1"/>
  <c r="HB61" i="1"/>
  <c r="GY9" i="1"/>
  <c r="HA43" i="1"/>
  <c r="HB95" i="1"/>
  <c r="HE79" i="1"/>
  <c r="HE45" i="1"/>
  <c r="HD58" i="1"/>
  <c r="HG94" i="1"/>
  <c r="HB94" i="1"/>
  <c r="HF44" i="1"/>
  <c r="HA44" i="1"/>
  <c r="HC60" i="1"/>
  <c r="GW27" i="1"/>
  <c r="GX10" i="1"/>
  <c r="HG60" i="1"/>
  <c r="HE24" i="1"/>
  <c r="GY7" i="1"/>
  <c r="HA94" i="1"/>
  <c r="HE44" i="1"/>
  <c r="HG27" i="1"/>
  <c r="GY28" i="1"/>
  <c r="HF62" i="1"/>
  <c r="HD28" i="1"/>
  <c r="GZ44" i="1"/>
  <c r="HE7" i="1"/>
  <c r="GZ62" i="1"/>
  <c r="HF61" i="1"/>
  <c r="HC9" i="1"/>
  <c r="HG26" i="1"/>
  <c r="HA62" i="1"/>
  <c r="HA78" i="1"/>
  <c r="GX26" i="1"/>
  <c r="GW11" i="1"/>
  <c r="HA79" i="1"/>
  <c r="GZ79" i="1"/>
</calcChain>
</file>

<file path=xl/sharedStrings.xml><?xml version="1.0" encoding="utf-8"?>
<sst xmlns="http://schemas.openxmlformats.org/spreadsheetml/2006/main" count="14822" uniqueCount="230">
  <si>
    <t>ALL DATA - Trend Analysis - Scottsdale Single-Family Homes - Resale</t>
  </si>
  <si>
    <t>All Price Points</t>
  </si>
  <si>
    <t>Percent Change- Month Over Month</t>
  </si>
  <si>
    <t>Sept.</t>
  </si>
  <si>
    <t>Oct.</t>
  </si>
  <si>
    <t>Nov.</t>
  </si>
  <si>
    <t>Dec.</t>
  </si>
  <si>
    <t>Jan.</t>
  </si>
  <si>
    <t>Feb.</t>
  </si>
  <si>
    <t>Mar.</t>
  </si>
  <si>
    <t>Apr.</t>
  </si>
  <si>
    <t>May</t>
  </si>
  <si>
    <t>Jun.</t>
  </si>
  <si>
    <t>Jul.</t>
  </si>
  <si>
    <t>Aug.</t>
  </si>
  <si>
    <t xml:space="preserve">Dec. </t>
  </si>
  <si>
    <t>Sep.</t>
  </si>
  <si>
    <t xml:space="preserve">Jan. </t>
  </si>
  <si>
    <t xml:space="preserve">Mar. </t>
  </si>
  <si>
    <t xml:space="preserve">Oct. </t>
  </si>
  <si>
    <t xml:space="preserve">Jul. </t>
  </si>
  <si>
    <t xml:space="preserve">Aug. </t>
  </si>
  <si>
    <t xml:space="preserve">Sep. </t>
  </si>
  <si>
    <t xml:space="preserve">Feb. </t>
  </si>
  <si>
    <t xml:space="preserve">Apr. </t>
  </si>
  <si>
    <t>Avg.</t>
  </si>
  <si>
    <t>Aug,</t>
  </si>
  <si>
    <t xml:space="preserve">Nov. </t>
  </si>
  <si>
    <t>Active</t>
  </si>
  <si>
    <t xml:space="preserve">Active </t>
  </si>
  <si>
    <t>N/A</t>
  </si>
  <si>
    <t>UCB</t>
  </si>
  <si>
    <t xml:space="preserve">Pending </t>
  </si>
  <si>
    <t>Sold</t>
  </si>
  <si>
    <t xml:space="preserve">Expired </t>
  </si>
  <si>
    <t>Sales Price to List Price</t>
  </si>
  <si>
    <t>Percentage of Homes Sold vs. Homes Listed</t>
  </si>
  <si>
    <t>98.4%*</t>
  </si>
  <si>
    <t>&lt;$999,999</t>
  </si>
  <si>
    <t>Sales to List Price</t>
  </si>
  <si>
    <t>Dec,</t>
  </si>
  <si>
    <t>* Data overstated</t>
  </si>
  <si>
    <t>All data provided by the Arizona Regional Multiple Listing System. Numbers subject to change.</t>
  </si>
  <si>
    <t>Trend Analysis - Scottsdale Single-Family Homes - Resale</t>
  </si>
  <si>
    <t>$1,000,000 - $1,499,999</t>
  </si>
  <si>
    <t>a</t>
  </si>
  <si>
    <t>$1,500,000 - $1,999,999</t>
  </si>
  <si>
    <t>Numbers</t>
  </si>
  <si>
    <t>$2,000,000 - $2,999,999</t>
  </si>
  <si>
    <t>$3,000,000+</t>
  </si>
  <si>
    <t>37.1%*</t>
  </si>
  <si>
    <t xml:space="preserve">All data provided by the Arizona Regional Multiple Listing System. Numbers subject to change. </t>
  </si>
  <si>
    <t xml:space="preserve">* One of the two sales had data that looks to be incorrect </t>
  </si>
  <si>
    <t>Scottsdale Home Sales March 2018</t>
  </si>
  <si>
    <t>Resales - Single Family Homes</t>
  </si>
  <si>
    <t xml:space="preserve">* CDOM = Cumulative Days on Market </t>
  </si>
  <si>
    <t>Price Band</t>
  </si>
  <si>
    <t>Count</t>
  </si>
  <si>
    <t>Average Price/Sq. Ft.</t>
  </si>
  <si>
    <t>CDOM*</t>
  </si>
  <si>
    <t>Sales Price/List Price</t>
  </si>
  <si>
    <t>Sold to Listed</t>
  </si>
  <si>
    <t xml:space="preserve"> Expired to Listed</t>
  </si>
  <si>
    <t>Expired</t>
  </si>
  <si>
    <t>$1,000,000-$1,499,999</t>
  </si>
  <si>
    <t xml:space="preserve"> </t>
  </si>
  <si>
    <t>$1,500,000-$1,999,999</t>
  </si>
  <si>
    <t>$2,000,000-$2,999,999</t>
  </si>
  <si>
    <r>
      <rPr>
        <b/>
        <sz val="12"/>
        <rFont val="Times New Roman"/>
        <family val="1"/>
      </rPr>
      <t>UCB</t>
    </r>
    <r>
      <rPr>
        <sz val="11"/>
        <color theme="1"/>
        <rFont val="Calibri"/>
        <family val="2"/>
        <scheme val="minor"/>
      </rPr>
      <t xml:space="preserve">= Under Contract, Backup Offers Being Accepted. </t>
    </r>
  </si>
  <si>
    <t>Data provided by the Arizona Regional Multiple Listing System (ARMLS). Numbers subject to change. Data pulled 4/1/2018.</t>
  </si>
  <si>
    <t>Scottsdale Home Sales April 2018</t>
  </si>
  <si>
    <t>Data provided by the Arizona Regional Multiple Listing System (ARMLS). Numbers subject to change. Data pulled 5/1/2018.</t>
  </si>
  <si>
    <r>
      <rPr>
        <b/>
        <sz val="12"/>
        <rFont val="Times New Roman"/>
        <family val="1"/>
      </rPr>
      <t>UCB</t>
    </r>
    <r>
      <rPr>
        <sz val="11"/>
        <color theme="1"/>
        <rFont val="Times New Roman"/>
        <family val="1"/>
      </rPr>
      <t xml:space="preserve">= Under Contract, Backup Offers Being Accepted. </t>
    </r>
  </si>
  <si>
    <t>Scottsdale Home Sales May 2018</t>
  </si>
  <si>
    <t>Data provided by the Arizona Regional Multiple Listing System (ARMLS). Numbers subject to change. Data pulled 6/1/2018.</t>
  </si>
  <si>
    <t>Scottsdale Home Sales June 2018</t>
  </si>
  <si>
    <t>Data provided by the Arizona Regional Multiple Listing System (ARMLS). Numbers subject to change. Data pulled 7/1/2018.</t>
  </si>
  <si>
    <t>Data provided by the Arizona Regional Multiple Listing System (ARMLS). Numbers subject to change. Data pulled 8/1/2018.</t>
  </si>
  <si>
    <t>Scottsdale Home Sales July 2018</t>
  </si>
  <si>
    <t>Scottsdale Home Sales August 2018</t>
  </si>
  <si>
    <t>Data provided by the Arizona Regional Multiple Listing System (ARMLS). Numbers subject to change. Data pulled 9/1/2018.</t>
  </si>
  <si>
    <t>Data provided by the Arizona Regional Multiple Listing System (ARMLS). Numbers subject to change. Data pulled 10/1/2018.</t>
  </si>
  <si>
    <t>Scottsdale Home Sales September 2018</t>
  </si>
  <si>
    <t>Scottsdale Home Sales October 2018</t>
  </si>
  <si>
    <t>Data provided by the Arizona Regional Multiple Listing System (ARMLS). Numbers subject to change. Data pulled 11/1/2018.</t>
  </si>
  <si>
    <t>Scottsdale Home Sales November 2018</t>
  </si>
  <si>
    <t>Data provided by the Arizona Regional Multiple Listing System (ARMLS). Numbers subject to change. Data pulled 12/1/2018.</t>
  </si>
  <si>
    <t>Scottsdale Home Sales December 2018</t>
  </si>
  <si>
    <t>Data provided by the Arizona Regional Multiple Listing System (ARMLS). Numbers subject to change. Data pulled 1/1/2019.</t>
  </si>
  <si>
    <t>Scottsdale Home Sales January 2019</t>
  </si>
  <si>
    <t>Data provided by the Arizona Regional Multiple Listing System (ARMLS). Numbers subject to change. Data pulled 2/1/2019.</t>
  </si>
  <si>
    <t>Scottsdale Home Sales February 2019</t>
  </si>
  <si>
    <t>Data provided by the Arizona Regional Multiple Listing System (ARMLS). Numbers subject to change. Data pulled 3/1/2019.</t>
  </si>
  <si>
    <t>Scottsdale Home Sales March 2019</t>
  </si>
  <si>
    <t>Data provided by the Arizona Regional Multiple Listing System (ARMLS). Numbers subject to change. Data pulled 4/1/2019.</t>
  </si>
  <si>
    <t>Data provided by the Arizona Regional Multiple Listing System (ARMLS). Numbers subject to change. Data pulled 5/1/2019.</t>
  </si>
  <si>
    <t>Scottsdale Home Sales April 2019</t>
  </si>
  <si>
    <t>Data provided by the Arizona Regional Multiple Listing System (ARMLS). Numbers subject to change. Data pulled 6/1/2019.</t>
  </si>
  <si>
    <t>Scottsdale Home Sales May 2019</t>
  </si>
  <si>
    <t>Scottsdale Home Sales June 2019</t>
  </si>
  <si>
    <t>Data provided by the Arizona Regional Multiple Listing System (ARMLS). Numbers subject to change. Data pulled 7/1/2019.</t>
  </si>
  <si>
    <t xml:space="preserve">Jun. </t>
  </si>
  <si>
    <t>Scottsdale Home Sales July 2019</t>
  </si>
  <si>
    <t>Data provided by the Arizona Regional Multiple Listing System (ARMLS). Numbers subject to change. Data pulled 8/1/2019.</t>
  </si>
  <si>
    <t>Scottsdale Home Sales August 2019</t>
  </si>
  <si>
    <t>Data provided by the Arizona Regional Multiple Listing System (ARMLS). Numbers subject to change. Data pulled 9/1/2019.</t>
  </si>
  <si>
    <t>Data provided by the Arizona Regional Multiple Listing System (ARMLS). Numbers subject to change. Data pulled 10/1/2019.</t>
  </si>
  <si>
    <t>Scottsdale Home Sales September 2019</t>
  </si>
  <si>
    <t>Data provided by the Arizona Regional Multiple Listing System (ARMLS). Numbers subject to change. Data pulled 11/1/2019.</t>
  </si>
  <si>
    <t>Scottsdale Home Sales October 2019</t>
  </si>
  <si>
    <t>Scottsdale Home Sales November 2019</t>
  </si>
  <si>
    <t>Data provided by the Arizona Regional Multiple Listing System (ARMLS). Numbers subject to change. Data pulled 12/1/2019.</t>
  </si>
  <si>
    <t>Scottsdale Home Sales December 2019</t>
  </si>
  <si>
    <t>Data provided by the Arizona Regional Multiple Listing System (ARMLS). Numbers subject to change. Data pulled 1/1/2020.</t>
  </si>
  <si>
    <t>Scottsdale Home Sales January 2020</t>
  </si>
  <si>
    <t>Data provided by the Arizona Regional Multiple Listing System (ARMLS). Numbers subject to change. Data pulled 2/1/2020.</t>
  </si>
  <si>
    <t>Scottsdale Home Sales February 2020</t>
  </si>
  <si>
    <t>Data provided by the Arizona Regional Multiple Listing System (ARMLS). Numbers subject to change. Data pulled 3/1/2020.</t>
  </si>
  <si>
    <t>Data provided by the Arizona Regional Multiple Listing System (ARMLS). Numbers subject to change. Data pulled 4/1/2020.</t>
  </si>
  <si>
    <t>Scottsdale Home Sales March 2020</t>
  </si>
  <si>
    <t>Scottsdale Home Sales April 2020</t>
  </si>
  <si>
    <t>Data provided by the Arizona Regional Multiple Listing System (ARMLS). Numbers subject to change. Data pulled 5/1/2020.</t>
  </si>
  <si>
    <t>Scottsdale Home Sales May 2020</t>
  </si>
  <si>
    <t>Data provided by the Arizona Regional Multiple Listing System (ARMLS). Numbers subject to change. Data pulled 6/1/2020.</t>
  </si>
  <si>
    <t>Scottsdale Home Sales June 2020</t>
  </si>
  <si>
    <t>Data provided by the Arizona Regional Multiple Listing System (ARMLS). Numbers subject to change. Data pulled 7/1/2020.</t>
  </si>
  <si>
    <t>Scottsdale Home Sales July 2020</t>
  </si>
  <si>
    <t>Data provided by the Arizona Regional Multiple Listing System (ARMLS). Numbers subject to change. Data pulled 8/1/2020.</t>
  </si>
  <si>
    <t>Scottsdale Home Sales August 2020</t>
  </si>
  <si>
    <t>Data provided by the Arizona Regional Multiple Listing System (ARMLS). Numbers subject to change. Data pulled 9/1/2020.</t>
  </si>
  <si>
    <t>Scottsdale Home Sales September 2020</t>
  </si>
  <si>
    <t>Data provided by the Arizona Regional Multiple Listing System (ARMLS). Numbers subject to change. Data pulled 10/1/2020.</t>
  </si>
  <si>
    <t>Scottsdale Home Sales October 2020</t>
  </si>
  <si>
    <t>Data provided by the Arizona Regional Multiple Listing System (ARMLS). Numbers subject to change. Data pulled 11/1/2020.</t>
  </si>
  <si>
    <t>Scottsdale Home Sales November 2020</t>
  </si>
  <si>
    <t>Data provided by the Arizona Regional Multiple Listing System (ARMLS). Numbers subject to change. Data pulled 12/1/2020.</t>
  </si>
  <si>
    <t>Scottsdale Home Sales December 2020</t>
  </si>
  <si>
    <t>Data provided by the Arizona Regional Multiple Listing System (ARMLS). Numbers subject to change. Data pulled 1/1/2021.</t>
  </si>
  <si>
    <t>Data provided by the Arizona Regional Multiple Listing System (ARMLS). Numbers subject to change. Data pulled 2/1/2021.</t>
  </si>
  <si>
    <t>Scottsdale Home Sales January 2021</t>
  </si>
  <si>
    <t>+</t>
  </si>
  <si>
    <t>Scottsdale Home Sales February 2021</t>
  </si>
  <si>
    <t>Data provided by the Arizona Regional Multiple Listing System (ARMLS). Numbers subject to change. Data pulled 3/1/2021.</t>
  </si>
  <si>
    <t>Scottsdale Home Sales March 2021</t>
  </si>
  <si>
    <t>Data provided by the Arizona Regional Multiple Listing System (ARMLS). Numbers subject to change. Data pulled 4/1/2021.</t>
  </si>
  <si>
    <t>Scottsdale Home Sales April 2021</t>
  </si>
  <si>
    <t>Data provided by the Arizona Regional Multiple Listing System (ARMLS). Numbers subject to change. Data pulled 5/1/2021.</t>
  </si>
  <si>
    <t>Scottsdale Home Sales May 2021</t>
  </si>
  <si>
    <t>Data provided by the Arizona Regional Multiple Listing System (ARMLS). Numbers subject to change. Data pulled 6/1/2021.</t>
  </si>
  <si>
    <t>Scottsdale Home Sales June 2021</t>
  </si>
  <si>
    <t>Data provided by the Arizona Regional Multiple Listing System (ARMLS). Numbers subject to change. Data pulled 7/1/2021.</t>
  </si>
  <si>
    <t>Data provided by the Arizona Regional Multiple Listing System (ARMLS). Numbers subject to change. Data pulled 8/1/2021.</t>
  </si>
  <si>
    <t>Scottsdale Home Sales July 2021</t>
  </si>
  <si>
    <t>Scottsdale Home Sales August 2021</t>
  </si>
  <si>
    <t>Data provided by the Arizona Regional Multiple Listing System (ARMLS). Numbers subject to change. Data pulled 9/1/2021.</t>
  </si>
  <si>
    <t>Scottsdale Home Sales September 2021</t>
  </si>
  <si>
    <t>Data provided by the Arizona Regional Multiple Listing System (ARMLS). Numbers subject to change. Data pulled 10/1/2021.</t>
  </si>
  <si>
    <t>Scottsdale Home Sales October 2021</t>
  </si>
  <si>
    <t>Data provided by the Arizona Regional Multiple Listing System (ARMLS). Numbers subject to change. Data pulled 11/1/2021.</t>
  </si>
  <si>
    <t>*549456*8/77954867*4519687*/</t>
  </si>
  <si>
    <t>Scottsdale Home Sales November 2021</t>
  </si>
  <si>
    <t>Data provided by the Arizona Regional Multiple Listing System (ARMLS). Numbers subject to change. Data pulled 12/1/2021.</t>
  </si>
  <si>
    <t>Scottsdale Home Sales December 2021</t>
  </si>
  <si>
    <t>Data provided by the Arizona Regional Multiple Listing System (ARMLS). Numbers subject to change. Data pulled 1/1/2022.</t>
  </si>
  <si>
    <t>Scottsdale Home Sales January 2022</t>
  </si>
  <si>
    <t>Data provided by the Arizona Regional Multiple Listing System (ARMLS). Numbers subject to change. Data pulled 2/1/2022.</t>
  </si>
  <si>
    <t>Data provided by the Arizona Regional Multiple Listing System (ARMLS). Numbers subject to change. Data pulled 3/1/2022.</t>
  </si>
  <si>
    <t>Scottsdale Home Sales February 2022</t>
  </si>
  <si>
    <t>Scottsdale Home Sales March 2022</t>
  </si>
  <si>
    <t>Data provided by the Arizona Regional Multiple Listing System (ARMLS). Numbers subject to change. Data pulled 4/1/2022.</t>
  </si>
  <si>
    <t>Scottsdale Home Sales April 2022</t>
  </si>
  <si>
    <t>Data provided by the Arizona Regional Multiple Listing System (ARMLS). Numbers subject to change. Data pulled 5/1/2022.</t>
  </si>
  <si>
    <t>Scottsdale Home Sales May 2022</t>
  </si>
  <si>
    <t>Data provided by the Arizona Regional Multiple Listing System (ARMLS). Numbers subject to change. Data pulled 6/1/2022.</t>
  </si>
  <si>
    <t>Scottsdale Home Sales June 2022</t>
  </si>
  <si>
    <t>Data provided by the Arizona Regional Multiple Listing System (ARMLS). Numbers subject to change. Data pulled 7/1/2022.</t>
  </si>
  <si>
    <t>Scottsdale Home Sales July 2022</t>
  </si>
  <si>
    <t>Data provided by the Arizona Regional Multiple Listing System (ARMLS). Numbers subject to change. Data pulled 8/1/2022.</t>
  </si>
  <si>
    <t>Scottsdale Home Sales August 2022</t>
  </si>
  <si>
    <t>Data provided by the Arizona Regional Multiple Listing System (ARMLS). Numbers subject to change. Data pulled 9/1/2022.</t>
  </si>
  <si>
    <t>Data provided by the Arizona Regional Multiple Listing System (ARMLS). Numbers subject to change. Data pulled 10/1/2022.</t>
  </si>
  <si>
    <t>Scottsdale Home Sales September 2022</t>
  </si>
  <si>
    <t>Scottsdale Home Sales October 2022</t>
  </si>
  <si>
    <t>Data provided by the Arizona Regional Multiple Listing System (ARMLS). Numbers subject to change. Data pulled 11/1/2022.</t>
  </si>
  <si>
    <t>Scottsdale Home Sales November 2022</t>
  </si>
  <si>
    <t>Data provided by the Arizona Regional Multiple Listing System (ARMLS). Numbers subject to change. Data pulled 12/1/2022.</t>
  </si>
  <si>
    <t>Scottsdale Home Sales December 2022</t>
  </si>
  <si>
    <t>Data provided by the Arizona Regional Multiple Listing System (ARMLS). Numbers subject to change. Data pulled 1/1/2023.</t>
  </si>
  <si>
    <t>Scottsdale Home Sales January 2023</t>
  </si>
  <si>
    <t>Data provided by the Arizona Regional Multiple Listing System (ARMLS). Numbers subject to change. Data pulled 2/1/2023.</t>
  </si>
  <si>
    <t>Scottsdale Home Sales February 2023</t>
  </si>
  <si>
    <t>Data provided by the Arizona Regional Multiple Listing System (ARMLS). Numbers subject to change. Data pulled 3/1/2023.</t>
  </si>
  <si>
    <t>Scottsdale Home Sales March 2023</t>
  </si>
  <si>
    <t>Data provided by the Arizona Regional Multiple Listing System (ARMLS). Numbers subject to change. Data pulled 4/1/2023.</t>
  </si>
  <si>
    <t>Scottsdale Home Sales April 2023</t>
  </si>
  <si>
    <t>Data provided by the Arizona Regional Multiple Listing System (ARMLS). Numbers subject to change. Data pulled 5/1/2023.</t>
  </si>
  <si>
    <t>Apr. 2023</t>
  </si>
  <si>
    <t>Scottsdale Home Sales May 2023</t>
  </si>
  <si>
    <t>Data provided by the Arizona Regional Multiple Listing System (ARMLS). Numbers subject to change. Data pulled 6/1/2023.</t>
  </si>
  <si>
    <t>May 2023</t>
  </si>
  <si>
    <t>Data provided by the Arizona Regional Multiple Listing System (ARMLS). Numbers subject to change. Data pulled 7/1/2023.</t>
  </si>
  <si>
    <t>Scottsdale Home Sales June 2023</t>
  </si>
  <si>
    <t>Jun. 2023</t>
  </si>
  <si>
    <t>Scottsdale Home Sales July 2023</t>
  </si>
  <si>
    <t>Data provided by the Arizona Regional Multiple Listing System (ARMLS). Numbers subject to change. Data pulled 8/1/2023.</t>
  </si>
  <si>
    <t>Jul. 2023</t>
  </si>
  <si>
    <t>Scottsdale Home Sales August 2023</t>
  </si>
  <si>
    <t>Data provided by the Arizona Regional Multiple Listing System (ARMLS). Numbers subject to change. Data pulled 9/1/2023.</t>
  </si>
  <si>
    <t>Aug. 2023</t>
  </si>
  <si>
    <t>Scottsdale Home Sales September 2023</t>
  </si>
  <si>
    <t>Data provided by the Arizona Regional Multiple Listing System (ARMLS). Numbers subject to change. Data pulled 10/1/2023.</t>
  </si>
  <si>
    <t>Sep. 2023</t>
  </si>
  <si>
    <t>Scottsdale Home Sales October 2023</t>
  </si>
  <si>
    <t>Data provided by the Arizona Regional Multiple Listing System (ARMLS). Numbers subject to change. Data pulled 11/1/2023.</t>
  </si>
  <si>
    <t>Oct. 2023</t>
  </si>
  <si>
    <t>Scottsdale Home Sales November 2023</t>
  </si>
  <si>
    <t>Data provided by the Arizona Regional Multiple Listing System (ARMLS). Numbers subject to change. Data pulled 12/1/2023.</t>
  </si>
  <si>
    <t>Nov. 2023</t>
  </si>
  <si>
    <t>Scottsdale Home Sales December 2023</t>
  </si>
  <si>
    <t>Data provided by the Arizona Regional Multiple Listing System (ARMLS). Numbers subject to change. Data pulled 1/1/2024.</t>
  </si>
  <si>
    <t>Dec. 2023</t>
  </si>
  <si>
    <t>Data provided by the Arizona Regional Multiple Listing System (ARMLS). Numbers subject to change. Data pulled 2/1/2024.</t>
  </si>
  <si>
    <t>Scottsdale Home Sales January 2024</t>
  </si>
  <si>
    <t>Jan. 2024</t>
  </si>
  <si>
    <t>Data provided by the Arizona Regional Multiple Listing System (ARMLS). Numbers subject to change. Data pulled 3/1/2024.</t>
  </si>
  <si>
    <t>Scottsdale Home Sales February 2024</t>
  </si>
  <si>
    <t>Feb. 2024</t>
  </si>
  <si>
    <t>Scottsdale Home Sales March 2024</t>
  </si>
  <si>
    <t>Data provided by the Arizona Regional Multiple Listing System (ARMLS). Numbers subject to change. Data pulled 4/1/2024.</t>
  </si>
  <si>
    <t>Mar.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</si>
</sst>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[$$-409]* #,##0.00_);_([$$-409]* \(#,##0.00\);_([$$-409]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b/>
      <sz val="12"/>
      <color indexed="9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0"/>
      <name val="Trebuchet MS"/>
      <family val="2"/>
    </font>
    <font>
      <sz val="10"/>
      <name val="Trebuchet MS"/>
      <family val="2"/>
    </font>
    <font>
      <b/>
      <sz val="10"/>
      <color indexed="9"/>
      <name val="Trebuchet MS"/>
      <family val="2"/>
    </font>
    <font>
      <b/>
      <sz val="10"/>
      <color indexed="9"/>
      <name val="Times New Roman"/>
      <family val="1"/>
    </font>
    <font>
      <sz val="8"/>
      <name val="Trebuchet MS"/>
      <family val="2"/>
    </font>
    <font>
      <b/>
      <sz val="10"/>
      <color theme="0"/>
      <name val="Trebuchet MS"/>
      <family val="2"/>
    </font>
    <font>
      <sz val="11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64" fontId="0" fillId="0" borderId="0" xfId="2" applyNumberFormat="1" applyFont="1" applyAlignment="1">
      <alignment horizontal="center"/>
    </xf>
    <xf numFmtId="0" fontId="4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0" fontId="2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164" fontId="5" fillId="2" borderId="0" xfId="2" applyNumberFormat="1" applyFont="1" applyFill="1" applyAlignment="1">
      <alignment horizontal="center"/>
    </xf>
    <xf numFmtId="0" fontId="4" fillId="0" borderId="0" xfId="0" applyFont="1"/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164" fontId="6" fillId="3" borderId="0" xfId="2" applyNumberFormat="1" applyFont="1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"/>
    </xf>
    <xf numFmtId="164" fontId="0" fillId="0" borderId="0" xfId="2" applyNumberFormat="1" applyFont="1"/>
    <xf numFmtId="0" fontId="4" fillId="0" borderId="0" xfId="0" applyFont="1" applyAlignment="1">
      <alignment horizontal="center"/>
    </xf>
    <xf numFmtId="164" fontId="3" fillId="0" borderId="0" xfId="2" applyNumberFormat="1" applyFont="1" applyAlignment="1">
      <alignment horizontal="center"/>
    </xf>
    <xf numFmtId="0" fontId="7" fillId="0" borderId="0" xfId="0" applyFont="1"/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2" applyNumberFormat="1" applyFont="1" applyAlignment="1">
      <alignment horizontal="center"/>
    </xf>
    <xf numFmtId="164" fontId="8" fillId="2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0" fillId="2" borderId="0" xfId="0" applyFill="1" applyAlignment="1">
      <alignment horizontal="center"/>
    </xf>
    <xf numFmtId="164" fontId="0" fillId="2" borderId="0" xfId="2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64" fontId="5" fillId="0" borderId="0" xfId="2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7" fillId="0" borderId="1" xfId="0" applyFont="1" applyBorder="1"/>
    <xf numFmtId="0" fontId="6" fillId="3" borderId="7" xfId="0" applyFont="1" applyFill="1" applyBorder="1" applyAlignment="1">
      <alignment horizontal="center"/>
    </xf>
    <xf numFmtId="0" fontId="0" fillId="2" borderId="0" xfId="0" applyFill="1"/>
    <xf numFmtId="165" fontId="0" fillId="0" borderId="0" xfId="0" applyNumberFormat="1" applyAlignment="1">
      <alignment horizontal="center"/>
    </xf>
    <xf numFmtId="9" fontId="0" fillId="0" borderId="0" xfId="2" applyFont="1"/>
    <xf numFmtId="0" fontId="9" fillId="0" borderId="0" xfId="0" quotePrefix="1" applyFont="1"/>
    <xf numFmtId="0" fontId="11" fillId="0" borderId="0" xfId="0" applyFont="1"/>
    <xf numFmtId="0" fontId="12" fillId="0" borderId="0" xfId="0" applyFont="1"/>
    <xf numFmtId="0" fontId="13" fillId="3" borderId="0" xfId="0" applyFont="1" applyFill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Alignment="1">
      <alignment horizontal="center"/>
    </xf>
    <xf numFmtId="164" fontId="12" fillId="0" borderId="0" xfId="2" applyNumberFormat="1" applyFont="1" applyAlignment="1">
      <alignment horizontal="center"/>
    </xf>
    <xf numFmtId="165" fontId="12" fillId="0" borderId="0" xfId="1" applyNumberFormat="1" applyFont="1" applyAlignment="1">
      <alignment horizontal="center"/>
    </xf>
    <xf numFmtId="0" fontId="14" fillId="3" borderId="0" xfId="0" applyFont="1" applyFill="1" applyAlignment="1">
      <alignment horizontal="center"/>
    </xf>
    <xf numFmtId="0" fontId="10" fillId="0" borderId="4" xfId="0" applyFont="1" applyBorder="1" applyAlignment="1">
      <alignment horizontal="center"/>
    </xf>
    <xf numFmtId="164" fontId="10" fillId="0" borderId="0" xfId="2" applyNumberFormat="1" applyFont="1" applyAlignment="1">
      <alignment horizontal="center"/>
    </xf>
    <xf numFmtId="0" fontId="15" fillId="0" borderId="0" xfId="0" applyFont="1"/>
    <xf numFmtId="0" fontId="12" fillId="6" borderId="4" xfId="0" applyFont="1" applyFill="1" applyBorder="1" applyAlignment="1">
      <alignment horizontal="center"/>
    </xf>
    <xf numFmtId="17" fontId="12" fillId="6" borderId="4" xfId="0" applyNumberFormat="1" applyFont="1" applyFill="1" applyBorder="1" applyAlignment="1">
      <alignment horizontal="center"/>
    </xf>
    <xf numFmtId="3" fontId="12" fillId="0" borderId="0" xfId="0" applyNumberFormat="1" applyFont="1"/>
    <xf numFmtId="0" fontId="11" fillId="0" borderId="0" xfId="0" applyFont="1" applyAlignment="1">
      <alignment horizontal="left" vertical="center"/>
    </xf>
    <xf numFmtId="164" fontId="12" fillId="0" borderId="0" xfId="0" applyNumberFormat="1" applyFont="1"/>
    <xf numFmtId="0" fontId="16" fillId="7" borderId="8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164" fontId="12" fillId="0" borderId="0" xfId="2" quotePrefix="1" applyNumberFormat="1" applyFont="1" applyAlignment="1">
      <alignment horizontal="center"/>
    </xf>
    <xf numFmtId="0" fontId="2" fillId="0" borderId="10" xfId="0" applyFont="1" applyBorder="1"/>
    <xf numFmtId="0" fontId="4" fillId="0" borderId="2" xfId="0" applyFont="1" applyBorder="1"/>
    <xf numFmtId="0" fontId="0" fillId="0" borderId="2" xfId="0" applyBorder="1"/>
    <xf numFmtId="0" fontId="0" fillId="0" borderId="3" xfId="0" applyBorder="1"/>
    <xf numFmtId="0" fontId="2" fillId="0" borderId="6" xfId="0" applyFont="1" applyBorder="1"/>
    <xf numFmtId="0" fontId="0" fillId="0" borderId="11" xfId="0" applyBorder="1"/>
    <xf numFmtId="0" fontId="4" fillId="0" borderId="6" xfId="0" applyFont="1" applyBorder="1"/>
    <xf numFmtId="0" fontId="17" fillId="0" borderId="0" xfId="0" applyFont="1"/>
    <xf numFmtId="164" fontId="3" fillId="0" borderId="11" xfId="2" applyNumberFormat="1" applyFont="1" applyBorder="1"/>
    <xf numFmtId="0" fontId="4" fillId="2" borderId="12" xfId="0" applyFont="1" applyFill="1" applyBorder="1"/>
    <xf numFmtId="0" fontId="4" fillId="2" borderId="8" xfId="0" applyFont="1" applyFill="1" applyBorder="1"/>
    <xf numFmtId="0" fontId="4" fillId="2" borderId="8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0" fillId="2" borderId="12" xfId="0" applyFill="1" applyBorder="1"/>
    <xf numFmtId="0" fontId="0" fillId="2" borderId="13" xfId="0" applyFill="1" applyBorder="1"/>
    <xf numFmtId="0" fontId="4" fillId="0" borderId="14" xfId="0" applyFont="1" applyBorder="1"/>
    <xf numFmtId="3" fontId="3" fillId="0" borderId="15" xfId="0" applyNumberFormat="1" applyFont="1" applyBorder="1"/>
    <xf numFmtId="44" fontId="3" fillId="0" borderId="15" xfId="3" applyFont="1" applyBorder="1"/>
    <xf numFmtId="0" fontId="3" fillId="0" borderId="16" xfId="0" applyFont="1" applyBorder="1" applyAlignment="1">
      <alignment wrapText="1"/>
    </xf>
    <xf numFmtId="0" fontId="4" fillId="8" borderId="0" xfId="0" applyFont="1" applyFill="1" applyAlignment="1">
      <alignment horizontal="center"/>
    </xf>
    <xf numFmtId="164" fontId="3" fillId="8" borderId="11" xfId="2" applyNumberFormat="1" applyFont="1" applyFill="1" applyBorder="1"/>
    <xf numFmtId="0" fontId="0" fillId="2" borderId="17" xfId="0" applyFill="1" applyBorder="1"/>
    <xf numFmtId="0" fontId="4" fillId="0" borderId="18" xfId="0" applyFont="1" applyBorder="1"/>
    <xf numFmtId="3" fontId="3" fillId="0" borderId="9" xfId="0" applyNumberFormat="1" applyFont="1" applyBorder="1"/>
    <xf numFmtId="44" fontId="3" fillId="0" borderId="9" xfId="3" applyFont="1" applyBorder="1"/>
    <xf numFmtId="0" fontId="3" fillId="0" borderId="19" xfId="0" applyFont="1" applyBorder="1" applyAlignment="1">
      <alignment wrapText="1"/>
    </xf>
    <xf numFmtId="0" fontId="3" fillId="2" borderId="4" xfId="0" applyFont="1" applyFill="1" applyBorder="1"/>
    <xf numFmtId="44" fontId="3" fillId="2" borderId="4" xfId="3" applyFont="1" applyFill="1" applyBorder="1"/>
    <xf numFmtId="0" fontId="3" fillId="2" borderId="20" xfId="0" applyFont="1" applyFill="1" applyBorder="1"/>
    <xf numFmtId="0" fontId="3" fillId="0" borderId="0" xfId="0" applyFont="1"/>
    <xf numFmtId="0" fontId="3" fillId="0" borderId="11" xfId="0" applyFont="1" applyBorder="1"/>
    <xf numFmtId="0" fontId="0" fillId="0" borderId="6" xfId="0" applyBorder="1"/>
    <xf numFmtId="0" fontId="4" fillId="0" borderId="17" xfId="0" applyFont="1" applyBorder="1"/>
    <xf numFmtId="0" fontId="3" fillId="0" borderId="4" xfId="0" applyFont="1" applyBorder="1"/>
    <xf numFmtId="44" fontId="3" fillId="0" borderId="4" xfId="3" applyFont="1" applyBorder="1"/>
    <xf numFmtId="0" fontId="3" fillId="0" borderId="20" xfId="0" applyFont="1" applyBorder="1"/>
    <xf numFmtId="0" fontId="4" fillId="0" borderId="21" xfId="0" applyFont="1" applyBorder="1"/>
    <xf numFmtId="0" fontId="3" fillId="0" borderId="22" xfId="0" applyFont="1" applyBorder="1"/>
    <xf numFmtId="44" fontId="3" fillId="0" borderId="22" xfId="3" applyFont="1" applyBorder="1" applyAlignment="1">
      <alignment horizontal="right"/>
    </xf>
    <xf numFmtId="0" fontId="3" fillId="0" borderId="23" xfId="0" applyFont="1" applyBorder="1" applyAlignment="1">
      <alignment horizontal="right"/>
    </xf>
    <xf numFmtId="0" fontId="3" fillId="0" borderId="1" xfId="0" applyFont="1" applyBorder="1"/>
    <xf numFmtId="0" fontId="3" fillId="0" borderId="24" xfId="0" applyFont="1" applyBorder="1"/>
    <xf numFmtId="0" fontId="3" fillId="2" borderId="25" xfId="0" applyFont="1" applyFill="1" applyBorder="1"/>
    <xf numFmtId="0" fontId="4" fillId="2" borderId="26" xfId="0" applyFont="1" applyFill="1" applyBorder="1"/>
    <xf numFmtId="44" fontId="3" fillId="2" borderId="25" xfId="3" applyFont="1" applyFill="1" applyBorder="1"/>
    <xf numFmtId="0" fontId="3" fillId="2" borderId="27" xfId="0" applyFont="1" applyFill="1" applyBorder="1"/>
    <xf numFmtId="0" fontId="3" fillId="2" borderId="0" xfId="0" applyFont="1" applyFill="1"/>
    <xf numFmtId="0" fontId="3" fillId="2" borderId="11" xfId="0" applyFont="1" applyFill="1" applyBorder="1"/>
    <xf numFmtId="0" fontId="0" fillId="0" borderId="28" xfId="0" applyBorder="1"/>
    <xf numFmtId="0" fontId="0" fillId="2" borderId="6" xfId="0" applyFill="1" applyBorder="1"/>
    <xf numFmtId="0" fontId="4" fillId="0" borderId="10" xfId="0" applyFont="1" applyBorder="1"/>
    <xf numFmtId="0" fontId="3" fillId="0" borderId="16" xfId="0" applyFont="1" applyBorder="1"/>
    <xf numFmtId="44" fontId="18" fillId="0" borderId="0" xfId="3" applyFont="1"/>
    <xf numFmtId="0" fontId="4" fillId="0" borderId="29" xfId="0" applyFont="1" applyBorder="1"/>
    <xf numFmtId="44" fontId="3" fillId="0" borderId="22" xfId="3" applyFont="1" applyBorder="1"/>
    <xf numFmtId="0" fontId="4" fillId="2" borderId="30" xfId="0" applyFont="1" applyFill="1" applyBorder="1"/>
    <xf numFmtId="0" fontId="3" fillId="2" borderId="31" xfId="0" applyFont="1" applyFill="1" applyBorder="1"/>
    <xf numFmtId="44" fontId="3" fillId="2" borderId="31" xfId="3" applyFont="1" applyFill="1" applyBorder="1"/>
    <xf numFmtId="0" fontId="3" fillId="2" borderId="32" xfId="0" applyFont="1" applyFill="1" applyBorder="1"/>
    <xf numFmtId="0" fontId="3" fillId="2" borderId="8" xfId="0" applyFont="1" applyFill="1" applyBorder="1"/>
    <xf numFmtId="0" fontId="3" fillId="2" borderId="13" xfId="0" applyFont="1" applyFill="1" applyBorder="1"/>
    <xf numFmtId="0" fontId="3" fillId="0" borderId="19" xfId="0" applyFont="1" applyBorder="1"/>
    <xf numFmtId="166" fontId="1" fillId="0" borderId="0" xfId="2" applyNumberFormat="1"/>
    <xf numFmtId="166" fontId="0" fillId="0" borderId="0" xfId="0" applyNumberFormat="1"/>
    <xf numFmtId="44" fontId="1" fillId="0" borderId="0" xfId="3"/>
    <xf numFmtId="9" fontId="1" fillId="0" borderId="0" xfId="2"/>
    <xf numFmtId="0" fontId="3" fillId="0" borderId="15" xfId="0" applyFont="1" applyBorder="1"/>
    <xf numFmtId="0" fontId="3" fillId="0" borderId="9" xfId="0" applyFont="1" applyBorder="1"/>
    <xf numFmtId="0" fontId="3" fillId="0" borderId="20" xfId="0" applyFont="1" applyBorder="1" applyAlignment="1">
      <alignment horizontal="right"/>
    </xf>
    <xf numFmtId="0" fontId="3" fillId="0" borderId="31" xfId="0" applyFont="1" applyBorder="1"/>
    <xf numFmtId="0" fontId="3" fillId="0" borderId="20" xfId="0" quotePrefix="1" applyFont="1" applyBorder="1" applyAlignment="1">
      <alignment horizontal="right"/>
    </xf>
    <xf numFmtId="165" fontId="20" fillId="0" borderId="0" xfId="1" applyNumberFormat="1" applyFont="1" applyAlignment="1">
      <alignment horizontal="center"/>
    </xf>
    <xf numFmtId="0" fontId="20" fillId="0" borderId="0" xfId="0" applyFont="1" applyAlignment="1">
      <alignment horizontal="center"/>
    </xf>
    <xf numFmtId="164" fontId="20" fillId="0" borderId="0" xfId="2" applyNumberFormat="1" applyFont="1" applyAlignment="1">
      <alignment horizontal="center"/>
    </xf>
    <xf numFmtId="164" fontId="21" fillId="0" borderId="0" xfId="2" applyNumberFormat="1" applyFont="1" applyAlignment="1">
      <alignment horizontal="center"/>
    </xf>
    <xf numFmtId="0" fontId="22" fillId="0" borderId="0" xfId="0" applyFont="1"/>
    <xf numFmtId="164" fontId="21" fillId="4" borderId="0" xfId="2" applyNumberFormat="1" applyFont="1" applyFill="1" applyAlignment="1">
      <alignment horizontal="center"/>
    </xf>
    <xf numFmtId="164" fontId="23" fillId="0" borderId="0" xfId="2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0" fillId="0" borderId="0" xfId="2" applyNumberFormat="1" applyFont="1"/>
    <xf numFmtId="0" fontId="20" fillId="0" borderId="0" xfId="0" applyFont="1"/>
    <xf numFmtId="164" fontId="23" fillId="0" borderId="0" xfId="2" applyNumberFormat="1" applyFont="1"/>
    <xf numFmtId="0" fontId="23" fillId="0" borderId="0" xfId="0" applyFont="1"/>
    <xf numFmtId="164" fontId="20" fillId="5" borderId="0" xfId="2" applyNumberFormat="1" applyFont="1" applyFill="1" applyAlignment="1">
      <alignment horizontal="center"/>
    </xf>
    <xf numFmtId="165" fontId="20" fillId="0" borderId="0" xfId="1" applyNumberFormat="1" applyFont="1"/>
    <xf numFmtId="44" fontId="3" fillId="0" borderId="4" xfId="3" applyFont="1" applyBorder="1" applyAlignment="1">
      <alignment horizontal="right"/>
    </xf>
    <xf numFmtId="0" fontId="16" fillId="7" borderId="3" xfId="0" applyFont="1" applyFill="1" applyBorder="1" applyAlignment="1">
      <alignment horizontal="center"/>
    </xf>
    <xf numFmtId="0" fontId="16" fillId="7" borderId="24" xfId="0" applyFont="1" applyFill="1" applyBorder="1" applyAlignment="1">
      <alignment horizontal="center"/>
    </xf>
    <xf numFmtId="0" fontId="0" fillId="2" borderId="8" xfId="0" applyFill="1" applyBorder="1"/>
    <xf numFmtId="0" fontId="0" fillId="2" borderId="33" xfId="0" applyFill="1" applyBorder="1"/>
    <xf numFmtId="0" fontId="3" fillId="2" borderId="30" xfId="0" applyFont="1" applyFill="1" applyBorder="1"/>
    <xf numFmtId="0" fontId="3" fillId="0" borderId="23" xfId="0" quotePrefix="1" applyFont="1" applyBorder="1" applyAlignment="1">
      <alignment horizontal="right"/>
    </xf>
    <xf numFmtId="164" fontId="3" fillId="8" borderId="11" xfId="2" applyNumberFormat="1" applyFont="1" applyFill="1" applyBorder="1" applyAlignment="1">
      <alignment horizontal="right"/>
    </xf>
    <xf numFmtId="0" fontId="12" fillId="0" borderId="0" xfId="0" quotePrefix="1" applyFont="1"/>
    <xf numFmtId="166" fontId="0" fillId="2" borderId="17" xfId="0" applyNumberFormat="1" applyFill="1" applyBorder="1"/>
    <xf numFmtId="166" fontId="3" fillId="0" borderId="9" xfId="3" applyNumberFormat="1" applyFont="1" applyBorder="1"/>
    <xf numFmtId="166" fontId="3" fillId="2" borderId="4" xfId="3" applyNumberFormat="1" applyFont="1" applyFill="1" applyBorder="1"/>
    <xf numFmtId="166" fontId="3" fillId="0" borderId="4" xfId="3" applyNumberFormat="1" applyFont="1" applyBorder="1"/>
    <xf numFmtId="166" fontId="3" fillId="0" borderId="22" xfId="3" applyNumberFormat="1" applyFont="1" applyBorder="1" applyAlignment="1">
      <alignment horizontal="right"/>
    </xf>
    <xf numFmtId="0" fontId="2" fillId="0" borderId="2" xfId="0" applyFont="1" applyBorder="1"/>
    <xf numFmtId="0" fontId="3" fillId="0" borderId="6" xfId="0" applyFont="1" applyBorder="1"/>
    <xf numFmtId="0" fontId="3" fillId="0" borderId="28" xfId="0" applyFont="1" applyBorder="1"/>
    <xf numFmtId="0" fontId="0" fillId="0" borderId="24" xfId="0" applyBorder="1"/>
    <xf numFmtId="0" fontId="3" fillId="2" borderId="6" xfId="0" applyFont="1" applyFill="1" applyBorder="1"/>
    <xf numFmtId="44" fontId="3" fillId="0" borderId="9" xfId="3" applyFont="1" applyFill="1" applyBorder="1"/>
    <xf numFmtId="166" fontId="3" fillId="0" borderId="9" xfId="3" applyNumberFormat="1" applyFont="1" applyFill="1" applyBorder="1"/>
    <xf numFmtId="44" fontId="0" fillId="0" borderId="0" xfId="3" applyFont="1"/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3" borderId="0" xfId="0" applyFont="1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Scottsdale AZ Single-Family Home Sales -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June 2010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'[1]Chart 4 blog'!$A$8</c:f>
              <c:strCache>
                <c:ptCount val="1"/>
                <c:pt idx="0">
                  <c:v>Active</c:v>
                </c:pt>
              </c:strCache>
            </c:strRef>
          </c:tx>
          <c:cat>
            <c:multiLvlStrRef>
              <c:f>'[1]Chart 4 blog'!$B$5:$L$7</c:f>
              <c:multiLvlStrCache>
                <c:ptCount val="11"/>
                <c:lvl/>
                <c:lvl>
                  <c:pt idx="0">
                    <c:v>Jun.</c:v>
                  </c:pt>
                  <c:pt idx="1">
                    <c:v>Sep.</c:v>
                  </c:pt>
                  <c:pt idx="2">
                    <c:v>Oct.</c:v>
                  </c:pt>
                  <c:pt idx="3">
                    <c:v>Nov.</c:v>
                  </c:pt>
                  <c:pt idx="4">
                    <c:v>Dec.</c:v>
                  </c:pt>
                  <c:pt idx="5">
                    <c:v>Jan. </c:v>
                  </c:pt>
                  <c:pt idx="6">
                    <c:v>Feb.</c:v>
                  </c:pt>
                  <c:pt idx="7">
                    <c:v>Mar. </c:v>
                  </c:pt>
                  <c:pt idx="8">
                    <c:v>Apr.</c:v>
                  </c:pt>
                  <c:pt idx="9">
                    <c:v>May</c:v>
                  </c:pt>
                  <c:pt idx="10">
                    <c:v>Jun.</c:v>
                  </c:pt>
                </c:lvl>
                <c:lvl>
                  <c:pt idx="0">
                    <c:v>2009</c:v>
                  </c:pt>
                  <c:pt idx="5">
                    <c:v>2010</c:v>
                  </c:pt>
                </c:lvl>
              </c:multiLvlStrCache>
            </c:multiLvlStrRef>
          </c:cat>
          <c:val>
            <c:numRef>
              <c:f>'[1]Chart 4 blog'!$B$8:$L$8</c:f>
              <c:numCache>
                <c:formatCode>General</c:formatCode>
                <c:ptCount val="11"/>
                <c:pt idx="0">
                  <c:v>2907</c:v>
                </c:pt>
                <c:pt idx="1">
                  <c:v>2829</c:v>
                </c:pt>
                <c:pt idx="2">
                  <c:v>2917</c:v>
                </c:pt>
                <c:pt idx="3">
                  <c:v>2910</c:v>
                </c:pt>
                <c:pt idx="4">
                  <c:v>2755</c:v>
                </c:pt>
                <c:pt idx="5">
                  <c:v>2927</c:v>
                </c:pt>
                <c:pt idx="6">
                  <c:v>2924</c:v>
                </c:pt>
                <c:pt idx="7">
                  <c:v>2896</c:v>
                </c:pt>
                <c:pt idx="8">
                  <c:v>2793</c:v>
                </c:pt>
                <c:pt idx="9">
                  <c:v>2653</c:v>
                </c:pt>
                <c:pt idx="10">
                  <c:v>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A-4DF2-BC6E-9692A8F43D0A}"/>
            </c:ext>
          </c:extLst>
        </c:ser>
        <c:ser>
          <c:idx val="1"/>
          <c:order val="1"/>
          <c:tx>
            <c:strRef>
              <c:f>'[1]Chart 4 blog'!$A$9</c:f>
              <c:strCache>
                <c:ptCount val="1"/>
                <c:pt idx="0">
                  <c:v>Pending </c:v>
                </c:pt>
              </c:strCache>
            </c:strRef>
          </c:tx>
          <c:cat>
            <c:multiLvlStrRef>
              <c:f>'[1]Chart 4 blog'!$B$5:$L$7</c:f>
              <c:multiLvlStrCache>
                <c:ptCount val="11"/>
                <c:lvl/>
                <c:lvl>
                  <c:pt idx="0">
                    <c:v>Jun.</c:v>
                  </c:pt>
                  <c:pt idx="1">
                    <c:v>Sep.</c:v>
                  </c:pt>
                  <c:pt idx="2">
                    <c:v>Oct.</c:v>
                  </c:pt>
                  <c:pt idx="3">
                    <c:v>Nov.</c:v>
                  </c:pt>
                  <c:pt idx="4">
                    <c:v>Dec.</c:v>
                  </c:pt>
                  <c:pt idx="5">
                    <c:v>Jan. </c:v>
                  </c:pt>
                  <c:pt idx="6">
                    <c:v>Feb.</c:v>
                  </c:pt>
                  <c:pt idx="7">
                    <c:v>Mar. </c:v>
                  </c:pt>
                  <c:pt idx="8">
                    <c:v>Apr.</c:v>
                  </c:pt>
                  <c:pt idx="9">
                    <c:v>May</c:v>
                  </c:pt>
                  <c:pt idx="10">
                    <c:v>Jun.</c:v>
                  </c:pt>
                </c:lvl>
                <c:lvl>
                  <c:pt idx="0">
                    <c:v>2009</c:v>
                  </c:pt>
                  <c:pt idx="5">
                    <c:v>2010</c:v>
                  </c:pt>
                </c:lvl>
              </c:multiLvlStrCache>
            </c:multiLvlStrRef>
          </c:cat>
          <c:val>
            <c:numRef>
              <c:f>'[1]Chart 4 blog'!$B$9:$L$9</c:f>
              <c:numCache>
                <c:formatCode>General</c:formatCode>
                <c:ptCount val="11"/>
                <c:pt idx="0">
                  <c:v>574</c:v>
                </c:pt>
                <c:pt idx="1">
                  <c:v>523</c:v>
                </c:pt>
                <c:pt idx="2">
                  <c:v>514</c:v>
                </c:pt>
                <c:pt idx="3">
                  <c:v>483</c:v>
                </c:pt>
                <c:pt idx="4">
                  <c:v>438</c:v>
                </c:pt>
                <c:pt idx="5">
                  <c:v>471</c:v>
                </c:pt>
                <c:pt idx="6">
                  <c:v>588</c:v>
                </c:pt>
                <c:pt idx="7">
                  <c:v>600</c:v>
                </c:pt>
                <c:pt idx="8">
                  <c:v>661</c:v>
                </c:pt>
                <c:pt idx="9">
                  <c:v>623</c:v>
                </c:pt>
                <c:pt idx="10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A-4DF2-BC6E-9692A8F43D0A}"/>
            </c:ext>
          </c:extLst>
        </c:ser>
        <c:ser>
          <c:idx val="2"/>
          <c:order val="2"/>
          <c:tx>
            <c:strRef>
              <c:f>'[1]Chart 4 blog'!$A$10</c:f>
              <c:strCache>
                <c:ptCount val="1"/>
                <c:pt idx="0">
                  <c:v>Sold</c:v>
                </c:pt>
              </c:strCache>
            </c:strRef>
          </c:tx>
          <c:cat>
            <c:multiLvlStrRef>
              <c:f>'[1]Chart 4 blog'!$B$5:$L$7</c:f>
              <c:multiLvlStrCache>
                <c:ptCount val="11"/>
                <c:lvl/>
                <c:lvl>
                  <c:pt idx="0">
                    <c:v>Jun.</c:v>
                  </c:pt>
                  <c:pt idx="1">
                    <c:v>Sep.</c:v>
                  </c:pt>
                  <c:pt idx="2">
                    <c:v>Oct.</c:v>
                  </c:pt>
                  <c:pt idx="3">
                    <c:v>Nov.</c:v>
                  </c:pt>
                  <c:pt idx="4">
                    <c:v>Dec.</c:v>
                  </c:pt>
                  <c:pt idx="5">
                    <c:v>Jan. </c:v>
                  </c:pt>
                  <c:pt idx="6">
                    <c:v>Feb.</c:v>
                  </c:pt>
                  <c:pt idx="7">
                    <c:v>Mar. </c:v>
                  </c:pt>
                  <c:pt idx="8">
                    <c:v>Apr.</c:v>
                  </c:pt>
                  <c:pt idx="9">
                    <c:v>May</c:v>
                  </c:pt>
                  <c:pt idx="10">
                    <c:v>Jun.</c:v>
                  </c:pt>
                </c:lvl>
                <c:lvl>
                  <c:pt idx="0">
                    <c:v>2009</c:v>
                  </c:pt>
                  <c:pt idx="5">
                    <c:v>2010</c:v>
                  </c:pt>
                </c:lvl>
              </c:multiLvlStrCache>
            </c:multiLvlStrRef>
          </c:cat>
          <c:val>
            <c:numRef>
              <c:f>'[1]Chart 4 blog'!$B$10:$L$10</c:f>
              <c:numCache>
                <c:formatCode>General</c:formatCode>
                <c:ptCount val="11"/>
                <c:pt idx="0">
                  <c:v>429</c:v>
                </c:pt>
                <c:pt idx="1">
                  <c:v>351</c:v>
                </c:pt>
                <c:pt idx="2">
                  <c:v>351</c:v>
                </c:pt>
                <c:pt idx="3">
                  <c:v>345</c:v>
                </c:pt>
                <c:pt idx="4">
                  <c:v>364</c:v>
                </c:pt>
                <c:pt idx="5">
                  <c:v>267</c:v>
                </c:pt>
                <c:pt idx="6">
                  <c:v>301</c:v>
                </c:pt>
                <c:pt idx="7">
                  <c:v>442</c:v>
                </c:pt>
                <c:pt idx="8">
                  <c:v>422</c:v>
                </c:pt>
                <c:pt idx="9">
                  <c:v>437</c:v>
                </c:pt>
                <c:pt idx="10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A-4DF2-BC6E-9692A8F4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880559"/>
        <c:axId val="1"/>
      </c:lineChart>
      <c:catAx>
        <c:axId val="280880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0880559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dTable>
    </c:plotArea>
    <c:legend>
      <c:legendPos val="r"/>
      <c:layout>
        <c:manualLayout>
          <c:xMode val="edge"/>
          <c:yMode val="edge"/>
          <c:x val="0.66286668321187647"/>
          <c:y val="0.11924088980133446"/>
          <c:w val="0.32856786168204621"/>
          <c:h val="5.8825532341048786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Scottsdale Single-Family Home Sales -</a:t>
            </a:r>
            <a:br>
              <a:rPr lang="en-US"/>
            </a:br>
            <a:r>
              <a:rPr lang="en-US"/>
              <a:t>March 2024</a:t>
            </a:r>
          </a:p>
        </c:rich>
      </c:tx>
      <c:layout>
        <c:manualLayout>
          <c:xMode val="edge"/>
          <c:yMode val="edge"/>
          <c:x val="0.28458611948044193"/>
          <c:y val="9.045375878233561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638153864543"/>
          <c:y val="0.12082691481746601"/>
          <c:w val="0.81447538965036781"/>
          <c:h val="0.61500010104984226"/>
        </c:manualLayout>
      </c:layout>
      <c:lineChart>
        <c:grouping val="standard"/>
        <c:varyColors val="0"/>
        <c:ser>
          <c:idx val="1"/>
          <c:order val="0"/>
          <c:tx>
            <c:strRef>
              <c:f>'Chart for blog'!$R$44</c:f>
              <c:strCache>
                <c:ptCount val="1"/>
                <c:pt idx="0">
                  <c:v>Active</c:v>
                </c:pt>
              </c:strCache>
            </c:strRef>
          </c:tx>
          <c:cat>
            <c:strRef>
              <c:f>'Chart for blog'!$S$43:$AD$43</c:f>
              <c:strCache>
                <c:ptCount val="12"/>
                <c:pt idx="0">
                  <c:v>Apr. 2023</c:v>
                </c:pt>
                <c:pt idx="1">
                  <c:v>May 2023</c:v>
                </c:pt>
                <c:pt idx="2">
                  <c:v>Jun. 2023</c:v>
                </c:pt>
                <c:pt idx="3">
                  <c:v>Jul. 2023</c:v>
                </c:pt>
                <c:pt idx="4">
                  <c:v>Aug. 2023</c:v>
                </c:pt>
                <c:pt idx="5">
                  <c:v>Sep. 2023</c:v>
                </c:pt>
                <c:pt idx="6">
                  <c:v>Oct. 2023</c:v>
                </c:pt>
                <c:pt idx="7">
                  <c:v>Nov. 2023</c:v>
                </c:pt>
                <c:pt idx="8">
                  <c:v>Dec. 2023</c:v>
                </c:pt>
                <c:pt idx="9">
                  <c:v>Jan. 2024</c:v>
                </c:pt>
                <c:pt idx="10">
                  <c:v>Feb. 2024</c:v>
                </c:pt>
                <c:pt idx="11">
                  <c:v>Mar. 2024</c:v>
                </c:pt>
              </c:strCache>
            </c:strRef>
          </c:cat>
          <c:val>
            <c:numRef>
              <c:f>'Chart for blog'!$S$44:$AD$44</c:f>
              <c:numCache>
                <c:formatCode>#,##0</c:formatCode>
                <c:ptCount val="12"/>
                <c:pt idx="0">
                  <c:v>979</c:v>
                </c:pt>
                <c:pt idx="1">
                  <c:v>911</c:v>
                </c:pt>
                <c:pt idx="2">
                  <c:v>823</c:v>
                </c:pt>
                <c:pt idx="3">
                  <c:v>829</c:v>
                </c:pt>
                <c:pt idx="4">
                  <c:v>849</c:v>
                </c:pt>
                <c:pt idx="5">
                  <c:v>940</c:v>
                </c:pt>
                <c:pt idx="6">
                  <c:v>1106</c:v>
                </c:pt>
                <c:pt idx="7">
                  <c:v>1105</c:v>
                </c:pt>
                <c:pt idx="8">
                  <c:v>966</c:v>
                </c:pt>
                <c:pt idx="9">
                  <c:v>1178</c:v>
                </c:pt>
                <c:pt idx="10">
                  <c:v>1240</c:v>
                </c:pt>
                <c:pt idx="11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A-42F4-B202-10529810F96F}"/>
            </c:ext>
          </c:extLst>
        </c:ser>
        <c:ser>
          <c:idx val="0"/>
          <c:order val="1"/>
          <c:tx>
            <c:strRef>
              <c:f>'Chart for blog'!$R$45</c:f>
              <c:strCache>
                <c:ptCount val="1"/>
                <c:pt idx="0">
                  <c:v>UCB</c:v>
                </c:pt>
              </c:strCache>
            </c:strRef>
          </c:tx>
          <c:cat>
            <c:strRef>
              <c:f>'Chart for blog'!$S$43:$AD$43</c:f>
              <c:strCache>
                <c:ptCount val="12"/>
                <c:pt idx="0">
                  <c:v>Apr. 2023</c:v>
                </c:pt>
                <c:pt idx="1">
                  <c:v>May 2023</c:v>
                </c:pt>
                <c:pt idx="2">
                  <c:v>Jun. 2023</c:v>
                </c:pt>
                <c:pt idx="3">
                  <c:v>Jul. 2023</c:v>
                </c:pt>
                <c:pt idx="4">
                  <c:v>Aug. 2023</c:v>
                </c:pt>
                <c:pt idx="5">
                  <c:v>Sep. 2023</c:v>
                </c:pt>
                <c:pt idx="6">
                  <c:v>Oct. 2023</c:v>
                </c:pt>
                <c:pt idx="7">
                  <c:v>Nov. 2023</c:v>
                </c:pt>
                <c:pt idx="8">
                  <c:v>Dec. 2023</c:v>
                </c:pt>
                <c:pt idx="9">
                  <c:v>Jan. 2024</c:v>
                </c:pt>
                <c:pt idx="10">
                  <c:v>Feb. 2024</c:v>
                </c:pt>
                <c:pt idx="11">
                  <c:v>Mar. 2024</c:v>
                </c:pt>
              </c:strCache>
            </c:strRef>
          </c:cat>
          <c:val>
            <c:numRef>
              <c:f>'Chart for blog'!$S$45:$AD$45</c:f>
              <c:numCache>
                <c:formatCode>General</c:formatCode>
                <c:ptCount val="12"/>
                <c:pt idx="0">
                  <c:v>235</c:v>
                </c:pt>
                <c:pt idx="1">
                  <c:v>203</c:v>
                </c:pt>
                <c:pt idx="2">
                  <c:v>176</c:v>
                </c:pt>
                <c:pt idx="3">
                  <c:v>146</c:v>
                </c:pt>
                <c:pt idx="4">
                  <c:v>131</c:v>
                </c:pt>
                <c:pt idx="5">
                  <c:v>117</c:v>
                </c:pt>
                <c:pt idx="6">
                  <c:v>132</c:v>
                </c:pt>
                <c:pt idx="7">
                  <c:v>126</c:v>
                </c:pt>
                <c:pt idx="8">
                  <c:v>100</c:v>
                </c:pt>
                <c:pt idx="9">
                  <c:v>171</c:v>
                </c:pt>
                <c:pt idx="10">
                  <c:v>216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E-4B87-B33A-00763BD53C61}"/>
            </c:ext>
          </c:extLst>
        </c:ser>
        <c:ser>
          <c:idx val="2"/>
          <c:order val="2"/>
          <c:tx>
            <c:strRef>
              <c:f>'Chart for blog'!$R$46</c:f>
              <c:strCache>
                <c:ptCount val="1"/>
                <c:pt idx="0">
                  <c:v>Pending </c:v>
                </c:pt>
              </c:strCache>
            </c:strRef>
          </c:tx>
          <c:cat>
            <c:strRef>
              <c:f>'Chart for blog'!$S$43:$AD$43</c:f>
              <c:strCache>
                <c:ptCount val="12"/>
                <c:pt idx="0">
                  <c:v>Apr. 2023</c:v>
                </c:pt>
                <c:pt idx="1">
                  <c:v>May 2023</c:v>
                </c:pt>
                <c:pt idx="2">
                  <c:v>Jun. 2023</c:v>
                </c:pt>
                <c:pt idx="3">
                  <c:v>Jul. 2023</c:v>
                </c:pt>
                <c:pt idx="4">
                  <c:v>Aug. 2023</c:v>
                </c:pt>
                <c:pt idx="5">
                  <c:v>Sep. 2023</c:v>
                </c:pt>
                <c:pt idx="6">
                  <c:v>Oct. 2023</c:v>
                </c:pt>
                <c:pt idx="7">
                  <c:v>Nov. 2023</c:v>
                </c:pt>
                <c:pt idx="8">
                  <c:v>Dec. 2023</c:v>
                </c:pt>
                <c:pt idx="9">
                  <c:v>Jan. 2024</c:v>
                </c:pt>
                <c:pt idx="10">
                  <c:v>Feb. 2024</c:v>
                </c:pt>
                <c:pt idx="11">
                  <c:v>Mar. 2024</c:v>
                </c:pt>
              </c:strCache>
            </c:strRef>
          </c:cat>
          <c:val>
            <c:numRef>
              <c:f>'Chart for blog'!$S$46:$AD$46</c:f>
              <c:numCache>
                <c:formatCode>General</c:formatCode>
                <c:ptCount val="12"/>
                <c:pt idx="0">
                  <c:v>303</c:v>
                </c:pt>
                <c:pt idx="1">
                  <c:v>284</c:v>
                </c:pt>
                <c:pt idx="2">
                  <c:v>230</c:v>
                </c:pt>
                <c:pt idx="3">
                  <c:v>222</c:v>
                </c:pt>
                <c:pt idx="4">
                  <c:v>186</c:v>
                </c:pt>
                <c:pt idx="5">
                  <c:v>195</c:v>
                </c:pt>
                <c:pt idx="6">
                  <c:v>174</c:v>
                </c:pt>
                <c:pt idx="7">
                  <c:v>179</c:v>
                </c:pt>
                <c:pt idx="8">
                  <c:v>146</c:v>
                </c:pt>
                <c:pt idx="9">
                  <c:v>214</c:v>
                </c:pt>
                <c:pt idx="10">
                  <c:v>236</c:v>
                </c:pt>
                <c:pt idx="11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E-4B87-B33A-00763BD53C61}"/>
            </c:ext>
          </c:extLst>
        </c:ser>
        <c:ser>
          <c:idx val="3"/>
          <c:order val="3"/>
          <c:tx>
            <c:strRef>
              <c:f>'Chart for blog'!$R$47</c:f>
              <c:strCache>
                <c:ptCount val="1"/>
                <c:pt idx="0">
                  <c:v>Sold</c:v>
                </c:pt>
              </c:strCache>
            </c:strRef>
          </c:tx>
          <c:cat>
            <c:strRef>
              <c:f>'Chart for blog'!$S$43:$AD$43</c:f>
              <c:strCache>
                <c:ptCount val="12"/>
                <c:pt idx="0">
                  <c:v>Apr. 2023</c:v>
                </c:pt>
                <c:pt idx="1">
                  <c:v>May 2023</c:v>
                </c:pt>
                <c:pt idx="2">
                  <c:v>Jun. 2023</c:v>
                </c:pt>
                <c:pt idx="3">
                  <c:v>Jul. 2023</c:v>
                </c:pt>
                <c:pt idx="4">
                  <c:v>Aug. 2023</c:v>
                </c:pt>
                <c:pt idx="5">
                  <c:v>Sep. 2023</c:v>
                </c:pt>
                <c:pt idx="6">
                  <c:v>Oct. 2023</c:v>
                </c:pt>
                <c:pt idx="7">
                  <c:v>Nov. 2023</c:v>
                </c:pt>
                <c:pt idx="8">
                  <c:v>Dec. 2023</c:v>
                </c:pt>
                <c:pt idx="9">
                  <c:v>Jan. 2024</c:v>
                </c:pt>
                <c:pt idx="10">
                  <c:v>Feb. 2024</c:v>
                </c:pt>
                <c:pt idx="11">
                  <c:v>Mar. 2024</c:v>
                </c:pt>
              </c:strCache>
            </c:strRef>
          </c:cat>
          <c:val>
            <c:numRef>
              <c:f>'Chart for blog'!$S$47:$AD$47</c:f>
              <c:numCache>
                <c:formatCode>General</c:formatCode>
                <c:ptCount val="12"/>
                <c:pt idx="0">
                  <c:v>319</c:v>
                </c:pt>
                <c:pt idx="1">
                  <c:v>454</c:v>
                </c:pt>
                <c:pt idx="2">
                  <c:v>442</c:v>
                </c:pt>
                <c:pt idx="3">
                  <c:v>313</c:v>
                </c:pt>
                <c:pt idx="4">
                  <c:v>334</c:v>
                </c:pt>
                <c:pt idx="5">
                  <c:v>273</c:v>
                </c:pt>
                <c:pt idx="6">
                  <c:v>266</c:v>
                </c:pt>
                <c:pt idx="7">
                  <c:v>275</c:v>
                </c:pt>
                <c:pt idx="8">
                  <c:v>267</c:v>
                </c:pt>
                <c:pt idx="9">
                  <c:v>244</c:v>
                </c:pt>
                <c:pt idx="10">
                  <c:v>324</c:v>
                </c:pt>
                <c:pt idx="11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E-4B87-B33A-00763BD5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431583"/>
        <c:axId val="1"/>
      </c:lineChart>
      <c:catAx>
        <c:axId val="37343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Number of Homes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3431583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dTable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95250</xdr:colOff>
      <xdr:row>17</xdr:row>
      <xdr:rowOff>50800</xdr:rowOff>
    </xdr:from>
    <xdr:to>
      <xdr:col>33</xdr:col>
      <xdr:colOff>546100</xdr:colOff>
      <xdr:row>40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BFB2AD-5E4C-4298-8E71-970F601C9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95250</xdr:colOff>
      <xdr:row>48</xdr:row>
      <xdr:rowOff>73025</xdr:rowOff>
    </xdr:from>
    <xdr:to>
      <xdr:col>29</xdr:col>
      <xdr:colOff>485775</xdr:colOff>
      <xdr:row>73</xdr:row>
      <xdr:rowOff>101600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E0212B3D-B8F2-4403-94EE-0035AEB6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rket%20Stats%20Trends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tawes/Documents/A%20REAL%20ESTATE/Market%20Statistics/Scottsdale%20Market%20Stats%20January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-Nov 07"/>
      <sheetName val="Sept 07"/>
      <sheetName val="Oct 07"/>
      <sheetName val="Nov 07"/>
      <sheetName val="Dec 07"/>
      <sheetName val="Jan 08"/>
      <sheetName val="Feb 08"/>
      <sheetName val="Mar 08"/>
      <sheetName val="Apr 08"/>
      <sheetName val="May 08"/>
      <sheetName val="Jun 08"/>
      <sheetName val="Jul 08"/>
      <sheetName val="Aug 08"/>
      <sheetName val="Sept 08"/>
      <sheetName val="Oct 08"/>
      <sheetName val="Nov 08"/>
      <sheetName val="Dec 08"/>
      <sheetName val="Jan 09"/>
      <sheetName val="Feb 09"/>
      <sheetName val="Mar 09"/>
      <sheetName val="Apr 09"/>
      <sheetName val="May 09"/>
      <sheetName val="June 09"/>
      <sheetName val="July 09"/>
      <sheetName val="Aug 09"/>
      <sheetName val="Sept 09"/>
      <sheetName val="Oct 09"/>
      <sheetName val="Nov 09"/>
      <sheetName val="Dec 09"/>
      <sheetName val="Jan 10"/>
      <sheetName val="Feb 10"/>
      <sheetName val="Mar 10"/>
      <sheetName val="Apr 10"/>
      <sheetName val="May 10"/>
      <sheetName val="June 10"/>
      <sheetName val="July 10"/>
      <sheetName val="Aug 10"/>
      <sheetName val="Sept 10"/>
      <sheetName val="Oct 10"/>
      <sheetName val="Nov 10"/>
      <sheetName val="Dec 10"/>
      <sheetName val="Jan 11"/>
      <sheetName val="Feb 11"/>
      <sheetName val="Mar 11"/>
      <sheetName val="Apr 11"/>
      <sheetName val="May 11"/>
      <sheetName val="Jun 11"/>
      <sheetName val="Jul 11"/>
      <sheetName val="Aug 11"/>
      <sheetName val="Sept 11"/>
      <sheetName val="Oct 11"/>
      <sheetName val="Nov 11"/>
      <sheetName val="Dec 11"/>
      <sheetName val="Jan 12"/>
      <sheetName val="Feb 12 "/>
      <sheetName val="Apr 12"/>
      <sheetName val="Mar 12"/>
      <sheetName val="May 12"/>
      <sheetName val="Jun 12"/>
      <sheetName val="Jul 12"/>
      <sheetName val="Aug 12"/>
      <sheetName val="Sep 12"/>
      <sheetName val="Oct 12"/>
      <sheetName val="Dec 12"/>
      <sheetName val="Nov 12"/>
      <sheetName val="Jan 13"/>
      <sheetName val="Feb 13"/>
      <sheetName val="Mar 13"/>
      <sheetName val="Apr 13"/>
      <sheetName val="May 13"/>
      <sheetName val="Jun 13"/>
      <sheetName val="Jul 13"/>
      <sheetName val="Aug 13"/>
      <sheetName val="Sep 13"/>
      <sheetName val="Oct 13"/>
      <sheetName val="Nov 13"/>
      <sheetName val="Dec 13"/>
      <sheetName val="Feb 14"/>
      <sheetName val="Jan 14"/>
      <sheetName val="Mar 14"/>
      <sheetName val="Apr 14"/>
      <sheetName val="May 14"/>
      <sheetName val="June 14"/>
      <sheetName val="July 14"/>
      <sheetName val="Aug 14"/>
      <sheetName val="Sept 14"/>
      <sheetName val="Oct 14"/>
      <sheetName val="Nov 14"/>
      <sheetName val="Dec 14"/>
      <sheetName val="Jan 15"/>
      <sheetName val="Feb 15"/>
      <sheetName val="Mar 15"/>
      <sheetName val="Apr 15"/>
      <sheetName val="May 15"/>
      <sheetName val="Jun 15"/>
      <sheetName val="Jul 15"/>
      <sheetName val="Aug 15"/>
      <sheetName val="Sep 15"/>
      <sheetName val="Oct 15"/>
      <sheetName val="Nov 15"/>
      <sheetName val="Dec 15"/>
      <sheetName val="Jan 16"/>
      <sheetName val="Feb 16"/>
      <sheetName val="Mar 16"/>
      <sheetName val=" Apr 16 "/>
      <sheetName val="May 16"/>
      <sheetName val="Jun 16"/>
      <sheetName val="Jul 16"/>
      <sheetName val="Aug 16"/>
      <sheetName val="Sep 16"/>
      <sheetName val="Oct 16"/>
      <sheetName val="Nov 16"/>
      <sheetName val="Dec 16"/>
      <sheetName val="Jan 17"/>
      <sheetName val="Feb 17"/>
      <sheetName val="Mar 17"/>
      <sheetName val="Apr 17"/>
      <sheetName val="May 17"/>
      <sheetName val="Jun 17"/>
      <sheetName val="Jul 17"/>
      <sheetName val="Aug 17"/>
      <sheetName val=" Sep 17"/>
      <sheetName val="Oct 17"/>
      <sheetName val="Nov 17"/>
      <sheetName val="Dec 17"/>
      <sheetName val="Jan 18"/>
      <sheetName val="Feb 18"/>
      <sheetName val="Mar 18"/>
      <sheetName val="Chart 4 blog"/>
      <sheetName val="Trend All Data"/>
      <sheetName val="Trend 1 yr"/>
      <sheetName val="Sheet2"/>
      <sheetName val="Chart1"/>
      <sheetName val="Sheet1"/>
      <sheetName val="Sheet4"/>
    </sheetNames>
    <sheetDataSet>
      <sheetData sheetId="0"/>
      <sheetData sheetId="1">
        <row r="5">
          <cell r="C5">
            <v>2409</v>
          </cell>
          <cell r="H5">
            <v>0.96058284561934193</v>
          </cell>
        </row>
        <row r="7">
          <cell r="C7">
            <v>166</v>
          </cell>
          <cell r="H7">
            <v>5.9775840597758409E-2</v>
          </cell>
        </row>
        <row r="9">
          <cell r="C9">
            <v>144</v>
          </cell>
        </row>
        <row r="11">
          <cell r="C11">
            <v>133</v>
          </cell>
        </row>
        <row r="13">
          <cell r="H13">
            <v>0.9195057497656558</v>
          </cell>
        </row>
        <row r="15">
          <cell r="H15">
            <v>3.4426229508196723E-2</v>
          </cell>
        </row>
        <row r="21">
          <cell r="H21">
            <v>0.94974597457803478</v>
          </cell>
        </row>
        <row r="23">
          <cell r="H23">
            <v>2.8688524590163935E-2</v>
          </cell>
        </row>
        <row r="29">
          <cell r="H29">
            <v>0.91839377181266479</v>
          </cell>
        </row>
        <row r="31">
          <cell r="H31">
            <v>1.1904761904761904E-2</v>
          </cell>
        </row>
        <row r="37">
          <cell r="H37">
            <v>0.90667454223272292</v>
          </cell>
        </row>
        <row r="39">
          <cell r="H39">
            <v>8.130081300813009E-3</v>
          </cell>
        </row>
        <row r="45">
          <cell r="C45">
            <v>3761</v>
          </cell>
          <cell r="H45">
            <v>0.90667454223272292</v>
          </cell>
        </row>
        <row r="47">
          <cell r="C47">
            <v>251</v>
          </cell>
          <cell r="H47">
            <v>4.7061951608614733E-2</v>
          </cell>
        </row>
        <row r="49">
          <cell r="C49">
            <v>177</v>
          </cell>
        </row>
        <row r="51">
          <cell r="C51">
            <v>178</v>
          </cell>
        </row>
      </sheetData>
      <sheetData sheetId="2">
        <row r="5">
          <cell r="C5">
            <v>2452</v>
          </cell>
          <cell r="H5">
            <v>0.95175532484212777</v>
          </cell>
        </row>
        <row r="7">
          <cell r="C7">
            <v>114</v>
          </cell>
          <cell r="H7">
            <v>7.5040783034257749E-2</v>
          </cell>
        </row>
        <row r="9">
          <cell r="C9">
            <v>184</v>
          </cell>
        </row>
        <row r="11">
          <cell r="C11">
            <v>144</v>
          </cell>
        </row>
        <row r="13">
          <cell r="H13">
            <v>0.91673236759398835</v>
          </cell>
        </row>
        <row r="15">
          <cell r="H15">
            <v>3.968253968253968E-2</v>
          </cell>
        </row>
        <row r="21">
          <cell r="H21">
            <v>0.94216786388307761</v>
          </cell>
        </row>
        <row r="23">
          <cell r="H23">
            <v>3.8610038610038609E-2</v>
          </cell>
        </row>
        <row r="29">
          <cell r="H29">
            <v>0.95325713748959373</v>
          </cell>
        </row>
        <row r="31">
          <cell r="H31">
            <v>4.7445255474452552E-2</v>
          </cell>
        </row>
        <row r="37">
          <cell r="H37">
            <v>0.73048656005444024</v>
          </cell>
        </row>
        <row r="45">
          <cell r="C45">
            <v>3876</v>
          </cell>
          <cell r="H45">
            <v>0.91540014714749596</v>
          </cell>
        </row>
        <row r="47">
          <cell r="C47">
            <v>150</v>
          </cell>
          <cell r="H47">
            <v>6.0887512899896801E-2</v>
          </cell>
        </row>
        <row r="49">
          <cell r="C49">
            <v>236</v>
          </cell>
        </row>
        <row r="51">
          <cell r="C51">
            <v>199</v>
          </cell>
        </row>
      </sheetData>
      <sheetData sheetId="3">
        <row r="5">
          <cell r="C5">
            <v>2471</v>
          </cell>
          <cell r="H5">
            <v>0.94493267045915275</v>
          </cell>
        </row>
        <row r="7">
          <cell r="C7">
            <v>173</v>
          </cell>
          <cell r="H7">
            <v>5.0586806960744635E-2</v>
          </cell>
        </row>
        <row r="9">
          <cell r="C9">
            <v>125</v>
          </cell>
        </row>
        <row r="11">
          <cell r="C11">
            <v>113</v>
          </cell>
        </row>
        <row r="13">
          <cell r="H13">
            <v>0.91970120341550032</v>
          </cell>
        </row>
        <row r="15">
          <cell r="H15">
            <v>4.3478260869565216E-2</v>
          </cell>
        </row>
        <row r="21">
          <cell r="H21">
            <v>0.91668136649614862</v>
          </cell>
        </row>
        <row r="23">
          <cell r="H23">
            <v>1.8115942028985508E-2</v>
          </cell>
        </row>
        <row r="29">
          <cell r="H29">
            <v>0.92814020770272754</v>
          </cell>
        </row>
        <row r="31">
          <cell r="H31">
            <v>3.4364261168384883E-2</v>
          </cell>
        </row>
        <row r="37">
          <cell r="H37">
            <v>0.95095095095095095</v>
          </cell>
        </row>
        <row r="39">
          <cell r="H39">
            <v>3.4364261168384879E-3</v>
          </cell>
        </row>
        <row r="45">
          <cell r="C45">
            <v>3950</v>
          </cell>
          <cell r="H45">
            <v>0.93450138793540882</v>
          </cell>
        </row>
        <row r="47">
          <cell r="C47">
            <v>235</v>
          </cell>
          <cell r="H47">
            <v>4.2531645569620254E-2</v>
          </cell>
        </row>
        <row r="49">
          <cell r="C49">
            <v>168</v>
          </cell>
        </row>
        <row r="51">
          <cell r="C51">
            <v>155</v>
          </cell>
        </row>
      </sheetData>
      <sheetData sheetId="4">
        <row r="5">
          <cell r="C5">
            <v>2331</v>
          </cell>
          <cell r="H5">
            <v>0.95211954160852197</v>
          </cell>
        </row>
        <row r="7">
          <cell r="C7">
            <v>136</v>
          </cell>
          <cell r="H7">
            <v>6.263406263406264E-2</v>
          </cell>
        </row>
        <row r="9">
          <cell r="C9">
            <v>146</v>
          </cell>
        </row>
        <row r="11">
          <cell r="C11">
            <v>235</v>
          </cell>
        </row>
        <row r="13">
          <cell r="H13">
            <v>0.92368410306026927</v>
          </cell>
        </row>
        <row r="15">
          <cell r="H15">
            <v>4.642857142857143E-2</v>
          </cell>
        </row>
        <row r="21">
          <cell r="H21">
            <v>0.92241316308143451</v>
          </cell>
        </row>
        <row r="23">
          <cell r="H23">
            <v>3.4615384615384617E-2</v>
          </cell>
        </row>
        <row r="29">
          <cell r="H29">
            <v>0.94064602397902841</v>
          </cell>
        </row>
        <row r="31">
          <cell r="H31">
            <v>2.3972602739726026E-2</v>
          </cell>
        </row>
        <row r="37">
          <cell r="H37">
            <v>0.92955367913148368</v>
          </cell>
        </row>
        <row r="39">
          <cell r="H39">
            <v>6.6666666666666671E-3</v>
          </cell>
        </row>
        <row r="45">
          <cell r="C45">
            <v>3743</v>
          </cell>
          <cell r="H45">
            <v>0.94018620491609195</v>
          </cell>
        </row>
        <row r="47">
          <cell r="C47">
            <v>191</v>
          </cell>
          <cell r="H47">
            <v>5.0761421319796954E-2</v>
          </cell>
        </row>
        <row r="49">
          <cell r="C49">
            <v>190</v>
          </cell>
        </row>
        <row r="51">
          <cell r="C51">
            <v>327</v>
          </cell>
        </row>
      </sheetData>
      <sheetData sheetId="5">
        <row r="5">
          <cell r="C5">
            <v>2555</v>
          </cell>
          <cell r="H5">
            <v>0.94663902821851431</v>
          </cell>
        </row>
        <row r="7">
          <cell r="C7">
            <v>195</v>
          </cell>
          <cell r="H7">
            <v>5.792563600782779E-2</v>
          </cell>
        </row>
        <row r="9">
          <cell r="C9">
            <v>148</v>
          </cell>
        </row>
        <row r="11">
          <cell r="C11">
            <v>112</v>
          </cell>
        </row>
        <row r="13">
          <cell r="C13">
            <v>635</v>
          </cell>
          <cell r="H13">
            <v>0.91008271557788289</v>
          </cell>
        </row>
        <row r="15">
          <cell r="C15">
            <v>36</v>
          </cell>
          <cell r="H15">
            <v>3.3070866141732283E-2</v>
          </cell>
        </row>
        <row r="17">
          <cell r="C17">
            <v>21</v>
          </cell>
        </row>
        <row r="19">
          <cell r="C19">
            <v>26</v>
          </cell>
        </row>
        <row r="21">
          <cell r="H21">
            <v>0.929710839366237</v>
          </cell>
        </row>
        <row r="23">
          <cell r="C23">
            <v>15</v>
          </cell>
          <cell r="H23">
            <v>4.2704626334519574E-2</v>
          </cell>
        </row>
        <row r="25">
          <cell r="C25">
            <v>12</v>
          </cell>
        </row>
        <row r="27">
          <cell r="C27">
            <v>11</v>
          </cell>
        </row>
        <row r="29">
          <cell r="C29">
            <v>353</v>
          </cell>
          <cell r="H29">
            <v>0.95744680851063835</v>
          </cell>
        </row>
        <row r="31">
          <cell r="C31">
            <v>10</v>
          </cell>
          <cell r="H31">
            <v>1.1331444759206799E-2</v>
          </cell>
        </row>
        <row r="33">
          <cell r="C33">
            <v>4</v>
          </cell>
        </row>
        <row r="35">
          <cell r="C35">
            <v>3</v>
          </cell>
        </row>
        <row r="37">
          <cell r="C37">
            <v>330</v>
          </cell>
          <cell r="H37">
            <v>0.90932777488275141</v>
          </cell>
        </row>
        <row r="39">
          <cell r="C39">
            <v>6</v>
          </cell>
          <cell r="H39">
            <v>6.0606060606060606E-3</v>
          </cell>
        </row>
        <row r="41">
          <cell r="C41">
            <v>2</v>
          </cell>
        </row>
        <row r="43">
          <cell r="C43">
            <v>6</v>
          </cell>
        </row>
        <row r="45">
          <cell r="C45">
            <v>4154</v>
          </cell>
          <cell r="H45">
            <v>0.9366589807296456</v>
          </cell>
        </row>
        <row r="47">
          <cell r="C47">
            <v>262</v>
          </cell>
          <cell r="H47">
            <v>4.5016851227732309E-2</v>
          </cell>
        </row>
        <row r="49">
          <cell r="C49">
            <v>187</v>
          </cell>
        </row>
        <row r="51">
          <cell r="C51">
            <v>158</v>
          </cell>
        </row>
      </sheetData>
      <sheetData sheetId="6">
        <row r="5">
          <cell r="C5">
            <v>2602</v>
          </cell>
          <cell r="H5">
            <v>0.94989839718281399</v>
          </cell>
        </row>
        <row r="7">
          <cell r="C7">
            <v>207</v>
          </cell>
          <cell r="H7">
            <v>6.9177555726364331E-2</v>
          </cell>
        </row>
        <row r="9">
          <cell r="C9">
            <v>180</v>
          </cell>
        </row>
        <row r="11">
          <cell r="C11">
            <v>105</v>
          </cell>
        </row>
        <row r="13">
          <cell r="C13">
            <v>636</v>
          </cell>
          <cell r="H13">
            <v>0.91678315046407965</v>
          </cell>
        </row>
        <row r="15">
          <cell r="C15">
            <v>42</v>
          </cell>
          <cell r="H15">
            <v>2.9874213836477988E-2</v>
          </cell>
        </row>
        <row r="17">
          <cell r="C17">
            <v>19</v>
          </cell>
        </row>
        <row r="19">
          <cell r="C19">
            <v>12</v>
          </cell>
        </row>
        <row r="21">
          <cell r="C21">
            <v>312</v>
          </cell>
        </row>
        <row r="23">
          <cell r="C23">
            <v>13</v>
          </cell>
        </row>
        <row r="25">
          <cell r="C25">
            <v>17</v>
          </cell>
        </row>
        <row r="27">
          <cell r="C27">
            <v>6</v>
          </cell>
        </row>
        <row r="29">
          <cell r="C29">
            <v>363</v>
          </cell>
        </row>
        <row r="31">
          <cell r="C31">
            <v>11</v>
          </cell>
        </row>
        <row r="33">
          <cell r="C33">
            <v>7</v>
          </cell>
        </row>
        <row r="35">
          <cell r="C35">
            <v>8</v>
          </cell>
        </row>
        <row r="37">
          <cell r="C37">
            <v>341</v>
          </cell>
        </row>
        <row r="39">
          <cell r="C39">
            <v>14</v>
          </cell>
        </row>
        <row r="41">
          <cell r="C41">
            <v>4</v>
          </cell>
        </row>
        <row r="43">
          <cell r="C43">
            <v>3</v>
          </cell>
        </row>
        <row r="45">
          <cell r="C45">
            <v>4254</v>
          </cell>
          <cell r="H45">
            <v>0.93579829788382574</v>
          </cell>
        </row>
        <row r="47">
          <cell r="C47">
            <v>287</v>
          </cell>
          <cell r="H47">
            <v>5.3361542078044194E-2</v>
          </cell>
        </row>
        <row r="49">
          <cell r="C49">
            <v>227</v>
          </cell>
        </row>
        <row r="51">
          <cell r="C51">
            <v>134</v>
          </cell>
        </row>
      </sheetData>
      <sheetData sheetId="7">
        <row r="5">
          <cell r="C5">
            <v>2646</v>
          </cell>
          <cell r="H5">
            <v>0.94564202780673934</v>
          </cell>
        </row>
        <row r="7">
          <cell r="C7">
            <v>247</v>
          </cell>
          <cell r="H7">
            <v>7.1806500377928947E-2</v>
          </cell>
        </row>
        <row r="9">
          <cell r="C9">
            <v>190</v>
          </cell>
        </row>
        <row r="11">
          <cell r="C11">
            <v>136</v>
          </cell>
        </row>
        <row r="13">
          <cell r="C13">
            <v>637</v>
          </cell>
          <cell r="H13">
            <v>0.93691116087791215</v>
          </cell>
        </row>
        <row r="15">
          <cell r="C15">
            <v>40</v>
          </cell>
          <cell r="H15">
            <v>3.7676609105180531E-2</v>
          </cell>
        </row>
        <row r="17">
          <cell r="C17">
            <v>24</v>
          </cell>
        </row>
        <row r="19">
          <cell r="C19">
            <v>28</v>
          </cell>
        </row>
        <row r="21">
          <cell r="C21">
            <v>316</v>
          </cell>
          <cell r="H21">
            <v>0.92290835946281724</v>
          </cell>
        </row>
        <row r="23">
          <cell r="C23">
            <v>8</v>
          </cell>
          <cell r="H23">
            <v>4.1139240506329111E-2</v>
          </cell>
        </row>
        <row r="25">
          <cell r="C25">
            <v>13</v>
          </cell>
        </row>
        <row r="27">
          <cell r="C27">
            <v>7</v>
          </cell>
        </row>
        <row r="29">
          <cell r="C29">
            <v>373</v>
          </cell>
          <cell r="H29">
            <v>0.9271822174835499</v>
          </cell>
        </row>
        <row r="31">
          <cell r="C31">
            <v>7</v>
          </cell>
          <cell r="H31">
            <v>2.9490616621983913E-2</v>
          </cell>
        </row>
        <row r="33">
          <cell r="C33">
            <v>11</v>
          </cell>
        </row>
        <row r="35">
          <cell r="C35">
            <v>10</v>
          </cell>
        </row>
        <row r="37">
          <cell r="C37">
            <v>331</v>
          </cell>
          <cell r="H37">
            <v>0.88798370672097759</v>
          </cell>
        </row>
        <row r="39">
          <cell r="C39">
            <v>10</v>
          </cell>
        </row>
        <row r="41">
          <cell r="C41">
            <v>8</v>
          </cell>
        </row>
        <row r="43">
          <cell r="C43">
            <v>7</v>
          </cell>
        </row>
        <row r="45">
          <cell r="C45">
            <v>4304</v>
          </cell>
          <cell r="H45">
            <v>0.92978559170080566</v>
          </cell>
        </row>
        <row r="47">
          <cell r="C47">
            <v>312</v>
          </cell>
          <cell r="H47">
            <v>5.7156133828996279E-2</v>
          </cell>
        </row>
        <row r="49">
          <cell r="C49">
            <v>246</v>
          </cell>
        </row>
        <row r="51">
          <cell r="C51">
            <v>188</v>
          </cell>
        </row>
      </sheetData>
      <sheetData sheetId="8"/>
      <sheetData sheetId="9">
        <row r="5">
          <cell r="C5">
            <v>2458</v>
          </cell>
          <cell r="H5">
            <v>0.94542340911347167</v>
          </cell>
        </row>
        <row r="7">
          <cell r="C7">
            <v>280</v>
          </cell>
          <cell r="H7">
            <v>0.10292921074043938</v>
          </cell>
        </row>
        <row r="9">
          <cell r="C9">
            <v>253</v>
          </cell>
        </row>
        <row r="11">
          <cell r="C11">
            <v>162</v>
          </cell>
        </row>
        <row r="13">
          <cell r="C13">
            <v>614</v>
          </cell>
          <cell r="H13">
            <v>0.90724399275400924</v>
          </cell>
        </row>
        <row r="15">
          <cell r="C15">
            <v>49</v>
          </cell>
          <cell r="H15">
            <v>4.3973941368078175E-2</v>
          </cell>
        </row>
        <row r="17">
          <cell r="C17">
            <v>27</v>
          </cell>
        </row>
        <row r="19">
          <cell r="C19">
            <v>22</v>
          </cell>
        </row>
        <row r="21">
          <cell r="C21">
            <v>307</v>
          </cell>
          <cell r="H21">
            <v>0.91793695426964628</v>
          </cell>
        </row>
        <row r="23">
          <cell r="C23">
            <v>14</v>
          </cell>
          <cell r="H23">
            <v>2.6058631921824105E-2</v>
          </cell>
        </row>
        <row r="25">
          <cell r="C25">
            <v>8</v>
          </cell>
        </row>
        <row r="27">
          <cell r="C27">
            <v>17</v>
          </cell>
        </row>
        <row r="29">
          <cell r="C29">
            <v>361</v>
          </cell>
          <cell r="H29">
            <v>0.89244215418813777</v>
          </cell>
        </row>
        <row r="31">
          <cell r="C31">
            <v>16</v>
          </cell>
          <cell r="H31">
            <v>2.2160664819944598E-2</v>
          </cell>
        </row>
        <row r="33">
          <cell r="C33">
            <v>8</v>
          </cell>
        </row>
        <row r="35">
          <cell r="C35">
            <v>12</v>
          </cell>
        </row>
        <row r="37">
          <cell r="C37">
            <v>323</v>
          </cell>
          <cell r="H37">
            <v>0.88819418904008829</v>
          </cell>
        </row>
        <row r="39">
          <cell r="C39">
            <v>5</v>
          </cell>
          <cell r="H39">
            <v>1.238390092879257E-2</v>
          </cell>
        </row>
        <row r="41">
          <cell r="C41">
            <v>4</v>
          </cell>
        </row>
        <row r="43">
          <cell r="C43">
            <v>10</v>
          </cell>
        </row>
        <row r="45">
          <cell r="C45">
            <v>4063</v>
          </cell>
          <cell r="H45">
            <v>0.92920288818684005</v>
          </cell>
        </row>
        <row r="47">
          <cell r="C47">
            <v>364</v>
          </cell>
          <cell r="H47">
            <v>7.3837066207236027E-2</v>
          </cell>
        </row>
        <row r="49">
          <cell r="C49">
            <v>300</v>
          </cell>
        </row>
        <row r="51">
          <cell r="C51">
            <v>223</v>
          </cell>
        </row>
      </sheetData>
      <sheetData sheetId="10">
        <row r="5">
          <cell r="C5">
            <v>2452</v>
          </cell>
          <cell r="H5">
            <v>0.94685848893384261</v>
          </cell>
        </row>
        <row r="7">
          <cell r="C7">
            <v>269</v>
          </cell>
          <cell r="H7">
            <v>0.11052202283849918</v>
          </cell>
        </row>
        <row r="9">
          <cell r="C9">
            <v>271</v>
          </cell>
        </row>
        <row r="11">
          <cell r="C11">
            <v>149</v>
          </cell>
        </row>
        <row r="13">
          <cell r="C13">
            <v>577</v>
          </cell>
        </row>
        <row r="15">
          <cell r="C15">
            <v>37</v>
          </cell>
          <cell r="H15">
            <v>5.3726169844020795E-2</v>
          </cell>
        </row>
        <row r="17">
          <cell r="C17">
            <v>31</v>
          </cell>
        </row>
        <row r="19">
          <cell r="C19">
            <v>45</v>
          </cell>
        </row>
        <row r="21">
          <cell r="C21">
            <v>278</v>
          </cell>
        </row>
        <row r="23">
          <cell r="C23">
            <v>16</v>
          </cell>
          <cell r="H23">
            <v>2.1582733812949641E-2</v>
          </cell>
        </row>
        <row r="25">
          <cell r="C25">
            <v>6</v>
          </cell>
        </row>
        <row r="27">
          <cell r="C27">
            <v>22</v>
          </cell>
        </row>
        <row r="29">
          <cell r="C29">
            <v>337</v>
          </cell>
          <cell r="H29">
            <v>0.88884164390730536</v>
          </cell>
        </row>
        <row r="31">
          <cell r="C31">
            <v>11</v>
          </cell>
          <cell r="H31">
            <v>2.967359050445104E-2</v>
          </cell>
        </row>
        <row r="33">
          <cell r="C33">
            <v>10</v>
          </cell>
        </row>
        <row r="35">
          <cell r="C35">
            <v>25</v>
          </cell>
        </row>
        <row r="37">
          <cell r="C37">
            <v>297</v>
          </cell>
        </row>
        <row r="39">
          <cell r="C39">
            <v>5</v>
          </cell>
          <cell r="H39">
            <v>1.0101010101010102E-2</v>
          </cell>
        </row>
        <row r="41">
          <cell r="C41">
            <v>3</v>
          </cell>
        </row>
        <row r="43">
          <cell r="C43">
            <v>12</v>
          </cell>
        </row>
        <row r="45">
          <cell r="C45">
            <v>3941</v>
          </cell>
          <cell r="H45">
            <v>0.93555722569657518</v>
          </cell>
        </row>
        <row r="47">
          <cell r="C47">
            <v>338</v>
          </cell>
          <cell r="H47">
            <v>8.145140827201218E-2</v>
          </cell>
        </row>
        <row r="49">
          <cell r="C49">
            <v>321</v>
          </cell>
        </row>
        <row r="51">
          <cell r="C51">
            <v>253</v>
          </cell>
        </row>
      </sheetData>
      <sheetData sheetId="11">
        <row r="5">
          <cell r="C5">
            <v>2448</v>
          </cell>
          <cell r="H5">
            <v>0.94696974347327001</v>
          </cell>
        </row>
        <row r="7">
          <cell r="C7">
            <v>264</v>
          </cell>
          <cell r="H7">
            <v>0.10008169934640523</v>
          </cell>
        </row>
        <row r="9">
          <cell r="C9">
            <v>245</v>
          </cell>
        </row>
        <row r="11">
          <cell r="C11">
            <v>125</v>
          </cell>
        </row>
        <row r="13">
          <cell r="C13">
            <v>543</v>
          </cell>
          <cell r="H13">
            <v>0.91302122380170658</v>
          </cell>
        </row>
        <row r="15">
          <cell r="C15">
            <v>38</v>
          </cell>
          <cell r="H15">
            <v>4.4198895027624308E-2</v>
          </cell>
        </row>
        <row r="17">
          <cell r="C17">
            <v>24</v>
          </cell>
        </row>
        <row r="19">
          <cell r="C19">
            <v>20</v>
          </cell>
        </row>
        <row r="21">
          <cell r="C21">
            <v>269</v>
          </cell>
          <cell r="H21">
            <v>0.93119091121242648</v>
          </cell>
        </row>
        <row r="23">
          <cell r="C23">
            <v>10</v>
          </cell>
          <cell r="H23">
            <v>3.717472118959108E-2</v>
          </cell>
        </row>
        <row r="25">
          <cell r="C25">
            <v>10</v>
          </cell>
        </row>
        <row r="27">
          <cell r="C27">
            <v>15</v>
          </cell>
        </row>
        <row r="29">
          <cell r="C29">
            <v>335</v>
          </cell>
          <cell r="H29">
            <v>0.91685012142812661</v>
          </cell>
        </row>
        <row r="31">
          <cell r="C31">
            <v>8</v>
          </cell>
          <cell r="H31">
            <v>1.4925373134328358E-2</v>
          </cell>
        </row>
        <row r="33">
          <cell r="C33">
            <v>5</v>
          </cell>
        </row>
        <row r="35">
          <cell r="C35">
            <v>13</v>
          </cell>
        </row>
        <row r="37">
          <cell r="C37">
            <v>277</v>
          </cell>
          <cell r="H37">
            <v>0.78620443173695498</v>
          </cell>
        </row>
        <row r="39">
          <cell r="C39">
            <v>7</v>
          </cell>
          <cell r="H39">
            <v>7.2202166064981952E-3</v>
          </cell>
        </row>
        <row r="41">
          <cell r="C41">
            <v>2</v>
          </cell>
        </row>
        <row r="43">
          <cell r="C43">
            <v>10</v>
          </cell>
        </row>
        <row r="45">
          <cell r="C45">
            <v>3872</v>
          </cell>
          <cell r="H45">
            <v>0.92675707761611958</v>
          </cell>
        </row>
        <row r="47">
          <cell r="C47">
            <v>327</v>
          </cell>
          <cell r="H47">
            <v>7.3863636363636367E-2</v>
          </cell>
        </row>
        <row r="49">
          <cell r="C49">
            <v>286</v>
          </cell>
        </row>
        <row r="51">
          <cell r="C51">
            <v>183</v>
          </cell>
        </row>
      </sheetData>
      <sheetData sheetId="12">
        <row r="5">
          <cell r="C5">
            <v>2446</v>
          </cell>
        </row>
        <row r="7">
          <cell r="C7">
            <v>247</v>
          </cell>
        </row>
        <row r="9">
          <cell r="C9">
            <v>235</v>
          </cell>
        </row>
        <row r="13">
          <cell r="C13">
            <v>531</v>
          </cell>
          <cell r="H13">
            <v>0.90289222696774241</v>
          </cell>
        </row>
        <row r="15">
          <cell r="C15">
            <v>32</v>
          </cell>
        </row>
        <row r="17">
          <cell r="C17">
            <v>18</v>
          </cell>
        </row>
        <row r="21">
          <cell r="C21">
            <v>270</v>
          </cell>
          <cell r="H21">
            <v>0.91445208431222624</v>
          </cell>
        </row>
        <row r="23">
          <cell r="C23">
            <v>8</v>
          </cell>
        </row>
        <row r="25">
          <cell r="C25">
            <v>9</v>
          </cell>
        </row>
        <row r="27">
          <cell r="C27">
            <v>19</v>
          </cell>
        </row>
        <row r="29">
          <cell r="C29">
            <v>328</v>
          </cell>
          <cell r="H29">
            <v>0.89895875454913066</v>
          </cell>
        </row>
        <row r="31">
          <cell r="C31">
            <v>4</v>
          </cell>
        </row>
        <row r="33">
          <cell r="C33">
            <v>8</v>
          </cell>
        </row>
        <row r="35">
          <cell r="C35">
            <v>11</v>
          </cell>
        </row>
        <row r="37">
          <cell r="C37">
            <v>263</v>
          </cell>
        </row>
        <row r="39">
          <cell r="C39">
            <v>9</v>
          </cell>
        </row>
        <row r="41">
          <cell r="C41">
            <v>4</v>
          </cell>
        </row>
        <row r="43">
          <cell r="C43">
            <v>6</v>
          </cell>
        </row>
        <row r="45">
          <cell r="C45">
            <v>3839</v>
          </cell>
          <cell r="H45">
            <v>0.92771177784216796</v>
          </cell>
        </row>
        <row r="47">
          <cell r="C47">
            <v>300</v>
          </cell>
        </row>
        <row r="49">
          <cell r="C49">
            <v>274</v>
          </cell>
        </row>
        <row r="51">
          <cell r="C51">
            <v>180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B5">
            <v>2009</v>
          </cell>
          <cell r="G5">
            <v>2010</v>
          </cell>
        </row>
        <row r="6">
          <cell r="B6" t="str">
            <v>Jun.</v>
          </cell>
          <cell r="C6" t="str">
            <v>Sep.</v>
          </cell>
          <cell r="D6" t="str">
            <v>Oct.</v>
          </cell>
          <cell r="E6" t="str">
            <v>Nov.</v>
          </cell>
          <cell r="F6" t="str">
            <v>Dec.</v>
          </cell>
          <cell r="G6" t="str">
            <v xml:space="preserve">Jan. </v>
          </cell>
          <cell r="H6" t="str">
            <v>Feb.</v>
          </cell>
          <cell r="I6" t="str">
            <v xml:space="preserve">Mar. </v>
          </cell>
          <cell r="J6" t="str">
            <v>Apr.</v>
          </cell>
          <cell r="K6" t="str">
            <v>May</v>
          </cell>
          <cell r="L6" t="str">
            <v>Jun.</v>
          </cell>
        </row>
        <row r="8">
          <cell r="A8" t="str">
            <v>Active</v>
          </cell>
          <cell r="B8">
            <v>2907</v>
          </cell>
          <cell r="C8">
            <v>2829</v>
          </cell>
          <cell r="D8">
            <v>2917</v>
          </cell>
          <cell r="E8">
            <v>2910</v>
          </cell>
          <cell r="F8">
            <v>2755</v>
          </cell>
          <cell r="G8">
            <v>2927</v>
          </cell>
          <cell r="H8">
            <v>2924</v>
          </cell>
          <cell r="I8">
            <v>2896</v>
          </cell>
          <cell r="J8">
            <v>2793</v>
          </cell>
          <cell r="K8">
            <v>2653</v>
          </cell>
          <cell r="L8">
            <v>2556</v>
          </cell>
        </row>
        <row r="9">
          <cell r="A9" t="str">
            <v xml:space="preserve">Pending </v>
          </cell>
          <cell r="B9">
            <v>574</v>
          </cell>
          <cell r="C9">
            <v>523</v>
          </cell>
          <cell r="D9">
            <v>514</v>
          </cell>
          <cell r="E9">
            <v>483</v>
          </cell>
          <cell r="F9">
            <v>438</v>
          </cell>
          <cell r="G9">
            <v>471</v>
          </cell>
          <cell r="H9">
            <v>588</v>
          </cell>
          <cell r="I9">
            <v>600</v>
          </cell>
          <cell r="J9">
            <v>661</v>
          </cell>
          <cell r="K9">
            <v>623</v>
          </cell>
          <cell r="L9">
            <v>542</v>
          </cell>
        </row>
        <row r="10">
          <cell r="A10" t="str">
            <v>Sold</v>
          </cell>
          <cell r="B10">
            <v>429</v>
          </cell>
          <cell r="C10">
            <v>351</v>
          </cell>
          <cell r="D10">
            <v>351</v>
          </cell>
          <cell r="E10">
            <v>345</v>
          </cell>
          <cell r="F10">
            <v>364</v>
          </cell>
          <cell r="G10">
            <v>267</v>
          </cell>
          <cell r="H10">
            <v>301</v>
          </cell>
          <cell r="I10">
            <v>442</v>
          </cell>
          <cell r="J10">
            <v>422</v>
          </cell>
          <cell r="K10">
            <v>437</v>
          </cell>
          <cell r="L10">
            <v>449</v>
          </cell>
        </row>
      </sheetData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 08"/>
    </sheetNames>
    <sheetDataSet>
      <sheetData sheetId="0" refreshError="1">
        <row r="21">
          <cell r="C21">
            <v>281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2E77-C06E-484C-B74D-DD0FAF476E70}">
  <sheetPr codeName="Sheet1"/>
  <dimension ref="A1:OL119"/>
  <sheetViews>
    <sheetView zoomScaleNormal="100" zoomScaleSheetLayoutView="70" workbookViewId="0">
      <selection sqref="A1:XFD1048576"/>
    </sheetView>
  </sheetViews>
  <sheetFormatPr defaultColWidth="10.54296875" defaultRowHeight="15.5" x14ac:dyDescent="0.35"/>
  <cols>
    <col min="1" max="1" width="10.54296875" style="12"/>
    <col min="7" max="140" width="10.54296875" style="2"/>
    <col min="141" max="141" width="10.54296875" style="2" customWidth="1"/>
    <col min="142" max="200" width="10.54296875" style="2"/>
    <col min="201" max="201" width="10.1796875" style="2" customWidth="1"/>
    <col min="208" max="213" width="10.54296875" style="2"/>
    <col min="214" max="347" width="10.54296875" style="3"/>
    <col min="348" max="348" width="10.54296875" style="3" customWidth="1"/>
    <col min="349" max="355" width="10.1796875" style="3" customWidth="1"/>
    <col min="356" max="402" width="9.81640625" style="3" customWidth="1"/>
    <col min="403" max="16384" width="10.54296875" style="3"/>
  </cols>
  <sheetData>
    <row r="1" spans="1:402" ht="33" customHeight="1" x14ac:dyDescent="0.35">
      <c r="A1" s="1" t="s">
        <v>0</v>
      </c>
    </row>
    <row r="2" spans="1:402" ht="16" thickBot="1" x14ac:dyDescent="0.4">
      <c r="A2" s="4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5"/>
      <c r="GU2" s="5"/>
      <c r="GV2" s="5"/>
      <c r="GW2" s="5"/>
      <c r="GX2" s="5"/>
      <c r="GY2" s="5"/>
      <c r="GZ2" s="6"/>
      <c r="HA2" s="6"/>
      <c r="HB2" s="6"/>
      <c r="HC2" s="6"/>
      <c r="HD2" s="6"/>
      <c r="HE2" s="6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</row>
    <row r="3" spans="1:402" ht="18" x14ac:dyDescent="0.4">
      <c r="A3" s="8" t="s">
        <v>1</v>
      </c>
      <c r="B3" s="9"/>
      <c r="C3" s="9"/>
      <c r="D3" s="9"/>
      <c r="E3" s="9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9"/>
      <c r="GU3" s="9"/>
      <c r="GV3" s="9"/>
      <c r="GW3" s="9"/>
      <c r="GX3" s="9"/>
      <c r="GY3" s="9"/>
      <c r="GZ3" s="10"/>
      <c r="HA3" s="10"/>
      <c r="HB3" s="10"/>
      <c r="HC3" s="10"/>
      <c r="HD3" s="10"/>
      <c r="HE3" s="10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</row>
    <row r="4" spans="1:402" ht="16" thickBot="1" x14ac:dyDescent="0.4">
      <c r="GU4" s="12" t="s">
        <v>2</v>
      </c>
    </row>
    <row r="5" spans="1:402" x14ac:dyDescent="0.35">
      <c r="B5" s="13">
        <v>2007</v>
      </c>
      <c r="C5" s="13"/>
      <c r="D5" s="13"/>
      <c r="E5" s="14"/>
      <c r="F5" s="15">
        <v>2008</v>
      </c>
      <c r="G5" s="16"/>
      <c r="H5" s="17"/>
      <c r="I5" s="16"/>
      <c r="J5" s="16"/>
      <c r="K5" s="16"/>
      <c r="L5" s="18"/>
      <c r="M5" s="18"/>
      <c r="N5" s="18"/>
      <c r="O5" s="18"/>
      <c r="P5" s="18"/>
      <c r="Q5" s="18"/>
      <c r="R5" s="19">
        <v>2009</v>
      </c>
      <c r="S5" s="19"/>
      <c r="T5" s="19"/>
      <c r="U5" s="19"/>
      <c r="V5" s="16"/>
      <c r="W5" s="16"/>
      <c r="X5" s="16"/>
      <c r="Y5" s="16"/>
      <c r="Z5" s="16"/>
      <c r="AA5" s="16"/>
      <c r="AB5" s="16"/>
      <c r="AC5" s="16"/>
      <c r="AD5" s="19">
        <v>2010</v>
      </c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>
        <v>2011</v>
      </c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9">
        <v>2012</v>
      </c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9">
        <v>2013</v>
      </c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>
        <v>2014</v>
      </c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>
        <v>2015</v>
      </c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9">
        <v>2016</v>
      </c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9">
        <v>2017</v>
      </c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>
        <v>2018</v>
      </c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9">
        <v>2019</v>
      </c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9">
        <v>2020</v>
      </c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9">
        <v>2021</v>
      </c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>
        <v>2022</v>
      </c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>
        <v>2023</v>
      </c>
      <c r="GE5" s="19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9">
        <v>2024</v>
      </c>
      <c r="GQ5" s="19"/>
      <c r="GR5" s="183"/>
      <c r="GS5" s="14"/>
      <c r="GV5" s="13">
        <v>2007</v>
      </c>
      <c r="GW5" s="13"/>
      <c r="GX5" s="13"/>
      <c r="GY5" s="14"/>
      <c r="GZ5" s="15">
        <v>2008</v>
      </c>
      <c r="HA5" s="16"/>
      <c r="HB5" s="17"/>
      <c r="HC5" s="16"/>
      <c r="HD5" s="16"/>
      <c r="HE5" s="16"/>
      <c r="HF5" s="18"/>
      <c r="HG5" s="18"/>
      <c r="HH5" s="18"/>
      <c r="HI5" s="18"/>
      <c r="HJ5" s="18"/>
      <c r="HK5" s="18"/>
      <c r="HL5" s="19">
        <v>2009</v>
      </c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>
        <v>2010</v>
      </c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>
        <v>2011</v>
      </c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>
        <v>2012</v>
      </c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>
        <v>2013</v>
      </c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>
        <v>2014</v>
      </c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>
        <v>2015</v>
      </c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>
        <v>2016</v>
      </c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>
        <v>2017</v>
      </c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>
        <v>2018</v>
      </c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>
        <v>2019</v>
      </c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>
        <v>2020</v>
      </c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>
        <v>2021</v>
      </c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>
        <v>2022</v>
      </c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>
        <v>2023</v>
      </c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>
        <v>2024</v>
      </c>
      <c r="OK5" s="19"/>
      <c r="OL5" s="19"/>
    </row>
    <row r="6" spans="1:402" x14ac:dyDescent="0.35">
      <c r="B6" s="20" t="s">
        <v>3</v>
      </c>
      <c r="C6" s="21" t="s">
        <v>4</v>
      </c>
      <c r="D6" s="20" t="s">
        <v>5</v>
      </c>
      <c r="E6" s="20" t="s">
        <v>6</v>
      </c>
      <c r="F6" s="20" t="s">
        <v>7</v>
      </c>
      <c r="G6" s="20" t="s">
        <v>8</v>
      </c>
      <c r="H6" s="20" t="s">
        <v>9</v>
      </c>
      <c r="I6" s="20" t="s">
        <v>10</v>
      </c>
      <c r="J6" s="20" t="s">
        <v>11</v>
      </c>
      <c r="K6" s="20" t="s">
        <v>12</v>
      </c>
      <c r="L6" s="20" t="s">
        <v>13</v>
      </c>
      <c r="M6" s="20" t="s">
        <v>14</v>
      </c>
      <c r="N6" s="20" t="s">
        <v>3</v>
      </c>
      <c r="O6" s="20" t="s">
        <v>4</v>
      </c>
      <c r="P6" s="20" t="s">
        <v>5</v>
      </c>
      <c r="Q6" s="20" t="s">
        <v>15</v>
      </c>
      <c r="R6" s="22" t="s">
        <v>7</v>
      </c>
      <c r="S6" s="22" t="s">
        <v>8</v>
      </c>
      <c r="T6" s="22" t="s">
        <v>9</v>
      </c>
      <c r="U6" s="22" t="s">
        <v>10</v>
      </c>
      <c r="V6" s="22" t="s">
        <v>11</v>
      </c>
      <c r="W6" s="22" t="s">
        <v>12</v>
      </c>
      <c r="X6" s="22" t="s">
        <v>13</v>
      </c>
      <c r="Y6" s="22" t="s">
        <v>14</v>
      </c>
      <c r="Z6" s="22" t="s">
        <v>16</v>
      </c>
      <c r="AA6" s="22" t="s">
        <v>4</v>
      </c>
      <c r="AB6" s="22" t="s">
        <v>5</v>
      </c>
      <c r="AC6" s="22" t="s">
        <v>6</v>
      </c>
      <c r="AD6" s="22" t="s">
        <v>17</v>
      </c>
      <c r="AE6" s="22" t="s">
        <v>8</v>
      </c>
      <c r="AF6" s="22" t="s">
        <v>18</v>
      </c>
      <c r="AG6" s="22" t="s">
        <v>10</v>
      </c>
      <c r="AH6" s="22" t="s">
        <v>11</v>
      </c>
      <c r="AI6" s="22" t="s">
        <v>12</v>
      </c>
      <c r="AJ6" s="22" t="s">
        <v>13</v>
      </c>
      <c r="AK6" s="22" t="s">
        <v>14</v>
      </c>
      <c r="AL6" s="22" t="s">
        <v>16</v>
      </c>
      <c r="AM6" s="22" t="s">
        <v>19</v>
      </c>
      <c r="AN6" s="22" t="s">
        <v>5</v>
      </c>
      <c r="AO6" s="22" t="s">
        <v>6</v>
      </c>
      <c r="AP6" s="22" t="s">
        <v>7</v>
      </c>
      <c r="AQ6" s="22" t="s">
        <v>8</v>
      </c>
      <c r="AR6" s="22" t="s">
        <v>9</v>
      </c>
      <c r="AS6" s="22" t="s">
        <v>10</v>
      </c>
      <c r="AT6" s="22" t="s">
        <v>11</v>
      </c>
      <c r="AU6" s="22" t="s">
        <v>12</v>
      </c>
      <c r="AV6" s="22" t="s">
        <v>13</v>
      </c>
      <c r="AW6" s="22" t="s">
        <v>14</v>
      </c>
      <c r="AX6" s="22" t="s">
        <v>3</v>
      </c>
      <c r="AY6" s="22" t="s">
        <v>4</v>
      </c>
      <c r="AZ6" s="22" t="s">
        <v>5</v>
      </c>
      <c r="BA6" s="22" t="s">
        <v>15</v>
      </c>
      <c r="BB6" s="22" t="s">
        <v>7</v>
      </c>
      <c r="BC6" s="22" t="s">
        <v>8</v>
      </c>
      <c r="BD6" s="22" t="s">
        <v>18</v>
      </c>
      <c r="BE6" s="22" t="s">
        <v>10</v>
      </c>
      <c r="BF6" s="22" t="s">
        <v>11</v>
      </c>
      <c r="BG6" s="22" t="s">
        <v>12</v>
      </c>
      <c r="BH6" s="22" t="s">
        <v>20</v>
      </c>
      <c r="BI6" s="22" t="s">
        <v>21</v>
      </c>
      <c r="BJ6" s="22" t="s">
        <v>16</v>
      </c>
      <c r="BK6" s="22" t="s">
        <v>19</v>
      </c>
      <c r="BL6" s="22" t="s">
        <v>5</v>
      </c>
      <c r="BM6" s="22" t="s">
        <v>15</v>
      </c>
      <c r="BN6" s="22" t="s">
        <v>7</v>
      </c>
      <c r="BO6" s="22" t="s">
        <v>8</v>
      </c>
      <c r="BP6" s="22" t="s">
        <v>9</v>
      </c>
      <c r="BQ6" s="22" t="s">
        <v>10</v>
      </c>
      <c r="BR6" s="22" t="s">
        <v>11</v>
      </c>
      <c r="BS6" s="22" t="s">
        <v>12</v>
      </c>
      <c r="BT6" s="22" t="s">
        <v>20</v>
      </c>
      <c r="BU6" s="22" t="s">
        <v>21</v>
      </c>
      <c r="BV6" s="22" t="s">
        <v>22</v>
      </c>
      <c r="BW6" s="22" t="s">
        <v>4</v>
      </c>
      <c r="BX6" s="22" t="s">
        <v>5</v>
      </c>
      <c r="BY6" s="22" t="s">
        <v>6</v>
      </c>
      <c r="BZ6" s="22" t="s">
        <v>17</v>
      </c>
      <c r="CA6" s="22" t="s">
        <v>23</v>
      </c>
      <c r="CB6" s="22" t="s">
        <v>18</v>
      </c>
      <c r="CC6" s="22" t="s">
        <v>24</v>
      </c>
      <c r="CD6" s="22" t="s">
        <v>11</v>
      </c>
      <c r="CE6" s="22" t="s">
        <v>12</v>
      </c>
      <c r="CF6" s="22" t="s">
        <v>13</v>
      </c>
      <c r="CG6" s="22" t="s">
        <v>14</v>
      </c>
      <c r="CH6" s="22" t="s">
        <v>16</v>
      </c>
      <c r="CI6" s="22" t="s">
        <v>4</v>
      </c>
      <c r="CJ6" s="22" t="s">
        <v>5</v>
      </c>
      <c r="CK6" s="22" t="s">
        <v>6</v>
      </c>
      <c r="CL6" s="22" t="s">
        <v>7</v>
      </c>
      <c r="CM6" s="22" t="s">
        <v>8</v>
      </c>
      <c r="CN6" s="22" t="s">
        <v>18</v>
      </c>
      <c r="CO6" s="22" t="s">
        <v>10</v>
      </c>
      <c r="CP6" s="22" t="s">
        <v>11</v>
      </c>
      <c r="CQ6" s="22" t="s">
        <v>12</v>
      </c>
      <c r="CR6" s="22" t="s">
        <v>20</v>
      </c>
      <c r="CS6" s="22" t="s">
        <v>14</v>
      </c>
      <c r="CT6" s="22" t="s">
        <v>22</v>
      </c>
      <c r="CU6" s="22" t="s">
        <v>19</v>
      </c>
      <c r="CV6" s="22" t="s">
        <v>5</v>
      </c>
      <c r="CW6" s="22" t="s">
        <v>15</v>
      </c>
      <c r="CX6" s="22" t="s">
        <v>7</v>
      </c>
      <c r="CY6" s="22" t="s">
        <v>23</v>
      </c>
      <c r="CZ6" s="22" t="s">
        <v>18</v>
      </c>
      <c r="DA6" s="22" t="s">
        <v>24</v>
      </c>
      <c r="DB6" s="22" t="s">
        <v>11</v>
      </c>
      <c r="DC6" s="22" t="s">
        <v>12</v>
      </c>
      <c r="DD6" s="22" t="s">
        <v>13</v>
      </c>
      <c r="DE6" s="22" t="s">
        <v>14</v>
      </c>
      <c r="DF6" s="22" t="s">
        <v>16</v>
      </c>
      <c r="DG6" s="22" t="s">
        <v>4</v>
      </c>
      <c r="DH6" s="22" t="s">
        <v>5</v>
      </c>
      <c r="DI6" s="22" t="s">
        <v>15</v>
      </c>
      <c r="DJ6" s="22" t="s">
        <v>7</v>
      </c>
      <c r="DK6" s="22" t="s">
        <v>8</v>
      </c>
      <c r="DL6" s="22" t="s">
        <v>18</v>
      </c>
      <c r="DM6" s="22" t="s">
        <v>24</v>
      </c>
      <c r="DN6" s="22" t="s">
        <v>11</v>
      </c>
      <c r="DO6" s="22" t="s">
        <v>12</v>
      </c>
      <c r="DP6" s="22" t="s">
        <v>20</v>
      </c>
      <c r="DQ6" s="22" t="s">
        <v>14</v>
      </c>
      <c r="DR6" s="22" t="s">
        <v>22</v>
      </c>
      <c r="DS6" s="22" t="s">
        <v>19</v>
      </c>
      <c r="DT6" s="22" t="s">
        <v>5</v>
      </c>
      <c r="DU6" s="22" t="s">
        <v>15</v>
      </c>
      <c r="DV6" s="22" t="s">
        <v>7</v>
      </c>
      <c r="DW6" s="22" t="s">
        <v>8</v>
      </c>
      <c r="DX6" s="22" t="s">
        <v>18</v>
      </c>
      <c r="DY6" s="22" t="s">
        <v>24</v>
      </c>
      <c r="DZ6" s="22" t="s">
        <v>11</v>
      </c>
      <c r="EA6" s="22" t="s">
        <v>12</v>
      </c>
      <c r="EB6" s="22" t="s">
        <v>20</v>
      </c>
      <c r="EC6" s="22" t="s">
        <v>21</v>
      </c>
      <c r="ED6" s="22" t="s">
        <v>22</v>
      </c>
      <c r="EE6" s="22" t="s">
        <v>4</v>
      </c>
      <c r="EF6" s="22" t="s">
        <v>5</v>
      </c>
      <c r="EG6" s="22" t="s">
        <v>15</v>
      </c>
      <c r="EH6" s="22" t="s">
        <v>17</v>
      </c>
      <c r="EI6" s="22" t="s">
        <v>23</v>
      </c>
      <c r="EJ6" s="22" t="s">
        <v>18</v>
      </c>
      <c r="EK6" s="22" t="s">
        <v>24</v>
      </c>
      <c r="EL6" s="22" t="s">
        <v>11</v>
      </c>
      <c r="EM6" s="22" t="s">
        <v>12</v>
      </c>
      <c r="EN6" s="22" t="s">
        <v>20</v>
      </c>
      <c r="EO6" s="22" t="s">
        <v>21</v>
      </c>
      <c r="EP6" s="22" t="s">
        <v>22</v>
      </c>
      <c r="EQ6" s="22" t="s">
        <v>4</v>
      </c>
      <c r="ER6" s="22" t="s">
        <v>5</v>
      </c>
      <c r="ES6" s="22" t="s">
        <v>6</v>
      </c>
      <c r="ET6" s="22" t="s">
        <v>17</v>
      </c>
      <c r="EU6" s="22" t="s">
        <v>8</v>
      </c>
      <c r="EV6" s="22" t="s">
        <v>18</v>
      </c>
      <c r="EW6" s="22" t="s">
        <v>10</v>
      </c>
      <c r="EX6" s="22" t="s">
        <v>11</v>
      </c>
      <c r="EY6" s="22" t="s">
        <v>12</v>
      </c>
      <c r="EZ6" s="22" t="s">
        <v>20</v>
      </c>
      <c r="FA6" s="22" t="s">
        <v>14</v>
      </c>
      <c r="FB6" s="22" t="s">
        <v>22</v>
      </c>
      <c r="FC6" s="22" t="s">
        <v>4</v>
      </c>
      <c r="FD6" s="22" t="s">
        <v>5</v>
      </c>
      <c r="FE6" s="22" t="s">
        <v>6</v>
      </c>
      <c r="FF6" s="22" t="s">
        <v>7</v>
      </c>
      <c r="FG6" s="22" t="s">
        <v>8</v>
      </c>
      <c r="FH6" s="22" t="s">
        <v>9</v>
      </c>
      <c r="FI6" s="22" t="s">
        <v>24</v>
      </c>
      <c r="FJ6" s="22" t="s">
        <v>11</v>
      </c>
      <c r="FK6" s="22" t="s">
        <v>12</v>
      </c>
      <c r="FL6" s="22" t="s">
        <v>20</v>
      </c>
      <c r="FM6" s="22" t="s">
        <v>14</v>
      </c>
      <c r="FN6" s="22" t="s">
        <v>22</v>
      </c>
      <c r="FO6" s="22" t="s">
        <v>19</v>
      </c>
      <c r="FP6" s="22" t="s">
        <v>27</v>
      </c>
      <c r="FQ6" s="22" t="s">
        <v>15</v>
      </c>
      <c r="FR6" s="22" t="s">
        <v>7</v>
      </c>
      <c r="FS6" s="22" t="s">
        <v>8</v>
      </c>
      <c r="FT6" s="22" t="s">
        <v>9</v>
      </c>
      <c r="FU6" s="22" t="s">
        <v>10</v>
      </c>
      <c r="FV6" s="22" t="s">
        <v>11</v>
      </c>
      <c r="FW6" s="22" t="s">
        <v>12</v>
      </c>
      <c r="FX6" s="22" t="s">
        <v>20</v>
      </c>
      <c r="FY6" s="22" t="s">
        <v>14</v>
      </c>
      <c r="FZ6" s="22" t="s">
        <v>16</v>
      </c>
      <c r="GA6" s="22" t="s">
        <v>19</v>
      </c>
      <c r="GB6" s="22" t="s">
        <v>5</v>
      </c>
      <c r="GC6" s="22" t="s">
        <v>6</v>
      </c>
      <c r="GD6" s="22" t="s">
        <v>7</v>
      </c>
      <c r="GE6" s="22" t="s">
        <v>8</v>
      </c>
      <c r="GF6" s="22" t="s">
        <v>18</v>
      </c>
      <c r="GG6" s="22" t="s">
        <v>24</v>
      </c>
      <c r="GH6" s="22" t="s">
        <v>11</v>
      </c>
      <c r="GI6" s="22" t="s">
        <v>12</v>
      </c>
      <c r="GJ6" s="22" t="s">
        <v>13</v>
      </c>
      <c r="GK6" s="22" t="s">
        <v>14</v>
      </c>
      <c r="GL6" s="22" t="s">
        <v>22</v>
      </c>
      <c r="GM6" s="22" t="s">
        <v>4</v>
      </c>
      <c r="GN6" s="22" t="s">
        <v>5</v>
      </c>
      <c r="GO6" s="22" t="s">
        <v>6</v>
      </c>
      <c r="GP6" s="22" t="s">
        <v>7</v>
      </c>
      <c r="GQ6" s="22" t="s">
        <v>8</v>
      </c>
      <c r="GR6" s="22" t="s">
        <v>18</v>
      </c>
      <c r="GS6" s="22" t="s">
        <v>25</v>
      </c>
      <c r="GT6" s="2"/>
      <c r="GU6" s="2"/>
      <c r="GV6" s="20" t="s">
        <v>3</v>
      </c>
      <c r="GW6" s="21" t="s">
        <v>4</v>
      </c>
      <c r="GX6" s="20" t="s">
        <v>5</v>
      </c>
      <c r="GY6" s="20" t="s">
        <v>6</v>
      </c>
      <c r="GZ6" s="20" t="s">
        <v>7</v>
      </c>
      <c r="HA6" s="20" t="s">
        <v>8</v>
      </c>
      <c r="HB6" s="20" t="s">
        <v>9</v>
      </c>
      <c r="HC6" s="20" t="s">
        <v>10</v>
      </c>
      <c r="HD6" s="20" t="s">
        <v>11</v>
      </c>
      <c r="HE6" s="20" t="s">
        <v>12</v>
      </c>
      <c r="HF6" s="20" t="s">
        <v>13</v>
      </c>
      <c r="HG6" s="20" t="s">
        <v>14</v>
      </c>
      <c r="HH6" s="20" t="s">
        <v>3</v>
      </c>
      <c r="HI6" s="20" t="s">
        <v>4</v>
      </c>
      <c r="HJ6" s="20" t="s">
        <v>5</v>
      </c>
      <c r="HK6" s="20" t="s">
        <v>15</v>
      </c>
      <c r="HL6" s="22" t="s">
        <v>7</v>
      </c>
      <c r="HM6" s="22" t="s">
        <v>8</v>
      </c>
      <c r="HN6" s="22" t="s">
        <v>9</v>
      </c>
      <c r="HO6" s="22" t="s">
        <v>10</v>
      </c>
      <c r="HP6" s="22" t="s">
        <v>11</v>
      </c>
      <c r="HQ6" s="22" t="s">
        <v>12</v>
      </c>
      <c r="HR6" s="22" t="s">
        <v>13</v>
      </c>
      <c r="HS6" s="22" t="s">
        <v>14</v>
      </c>
      <c r="HT6" s="22" t="s">
        <v>16</v>
      </c>
      <c r="HU6" s="22" t="s">
        <v>4</v>
      </c>
      <c r="HV6" s="22" t="s">
        <v>5</v>
      </c>
      <c r="HW6" s="22" t="s">
        <v>6</v>
      </c>
      <c r="HX6" s="22" t="s">
        <v>17</v>
      </c>
      <c r="HY6" s="22" t="s">
        <v>8</v>
      </c>
      <c r="HZ6" s="22" t="s">
        <v>18</v>
      </c>
      <c r="IA6" s="22" t="s">
        <v>10</v>
      </c>
      <c r="IB6" s="22" t="s">
        <v>11</v>
      </c>
      <c r="IC6" s="22" t="s">
        <v>12</v>
      </c>
      <c r="ID6" s="22" t="s">
        <v>13</v>
      </c>
      <c r="IE6" s="22" t="s">
        <v>26</v>
      </c>
      <c r="IF6" s="22" t="s">
        <v>16</v>
      </c>
      <c r="IG6" s="22" t="s">
        <v>4</v>
      </c>
      <c r="IH6" s="22" t="s">
        <v>5</v>
      </c>
      <c r="II6" s="22" t="s">
        <v>6</v>
      </c>
      <c r="IJ6" s="22" t="s">
        <v>7</v>
      </c>
      <c r="IK6" s="22" t="s">
        <v>8</v>
      </c>
      <c r="IL6" s="22" t="s">
        <v>18</v>
      </c>
      <c r="IM6" s="22" t="s">
        <v>10</v>
      </c>
      <c r="IN6" s="22" t="s">
        <v>11</v>
      </c>
      <c r="IO6" s="22" t="s">
        <v>12</v>
      </c>
      <c r="IP6" s="22" t="s">
        <v>13</v>
      </c>
      <c r="IQ6" s="22" t="s">
        <v>14</v>
      </c>
      <c r="IR6" s="22" t="s">
        <v>3</v>
      </c>
      <c r="IS6" s="22" t="s">
        <v>4</v>
      </c>
      <c r="IT6" s="22" t="s">
        <v>5</v>
      </c>
      <c r="IU6" s="22" t="s">
        <v>15</v>
      </c>
      <c r="IV6" s="22" t="s">
        <v>7</v>
      </c>
      <c r="IW6" s="22" t="s">
        <v>8</v>
      </c>
      <c r="IX6" s="22" t="s">
        <v>9</v>
      </c>
      <c r="IY6" s="22" t="s">
        <v>10</v>
      </c>
      <c r="IZ6" s="22" t="s">
        <v>11</v>
      </c>
      <c r="JA6" s="22" t="s">
        <v>12</v>
      </c>
      <c r="JB6" s="22" t="s">
        <v>20</v>
      </c>
      <c r="JC6" s="22" t="s">
        <v>21</v>
      </c>
      <c r="JD6" s="22" t="s">
        <v>16</v>
      </c>
      <c r="JE6" s="22" t="s">
        <v>4</v>
      </c>
      <c r="JF6" s="22" t="s">
        <v>5</v>
      </c>
      <c r="JG6" s="22" t="s">
        <v>6</v>
      </c>
      <c r="JH6" s="22" t="s">
        <v>7</v>
      </c>
      <c r="JI6" s="22" t="s">
        <v>8</v>
      </c>
      <c r="JJ6" s="22" t="s">
        <v>9</v>
      </c>
      <c r="JK6" s="22" t="s">
        <v>10</v>
      </c>
      <c r="JL6" s="22" t="s">
        <v>11</v>
      </c>
      <c r="JM6" s="22" t="s">
        <v>12</v>
      </c>
      <c r="JN6" s="22" t="s">
        <v>20</v>
      </c>
      <c r="JO6" s="22" t="s">
        <v>21</v>
      </c>
      <c r="JP6" s="22" t="s">
        <v>22</v>
      </c>
      <c r="JQ6" s="22" t="s">
        <v>4</v>
      </c>
      <c r="JR6" s="22" t="s">
        <v>5</v>
      </c>
      <c r="JS6" s="22" t="s">
        <v>6</v>
      </c>
      <c r="JT6" s="22" t="s">
        <v>17</v>
      </c>
      <c r="JU6" s="22" t="s">
        <v>23</v>
      </c>
      <c r="JV6" s="22" t="s">
        <v>18</v>
      </c>
      <c r="JW6" s="22" t="s">
        <v>24</v>
      </c>
      <c r="JX6" s="22" t="s">
        <v>11</v>
      </c>
      <c r="JY6" s="22" t="s">
        <v>12</v>
      </c>
      <c r="JZ6" s="22" t="s">
        <v>13</v>
      </c>
      <c r="KA6" s="22" t="s">
        <v>14</v>
      </c>
      <c r="KB6" s="22" t="s">
        <v>22</v>
      </c>
      <c r="KC6" s="22" t="s">
        <v>4</v>
      </c>
      <c r="KD6" s="22" t="s">
        <v>5</v>
      </c>
      <c r="KE6" s="22" t="s">
        <v>6</v>
      </c>
      <c r="KF6" s="22" t="s">
        <v>17</v>
      </c>
      <c r="KG6" s="22" t="s">
        <v>8</v>
      </c>
      <c r="KH6" s="22" t="s">
        <v>18</v>
      </c>
      <c r="KI6" s="22" t="s">
        <v>10</v>
      </c>
      <c r="KJ6" s="22" t="s">
        <v>11</v>
      </c>
      <c r="KK6" s="22" t="s">
        <v>12</v>
      </c>
      <c r="KL6" s="22" t="s">
        <v>20</v>
      </c>
      <c r="KM6" s="22" t="s">
        <v>21</v>
      </c>
      <c r="KN6" s="22" t="s">
        <v>16</v>
      </c>
      <c r="KO6" s="22" t="s">
        <v>19</v>
      </c>
      <c r="KP6" s="22" t="s">
        <v>5</v>
      </c>
      <c r="KQ6" s="22" t="s">
        <v>6</v>
      </c>
      <c r="KR6" s="22" t="s">
        <v>7</v>
      </c>
      <c r="KS6" s="22" t="s">
        <v>8</v>
      </c>
      <c r="KT6" s="22" t="s">
        <v>18</v>
      </c>
      <c r="KU6" s="22" t="s">
        <v>24</v>
      </c>
      <c r="KV6" s="22" t="s">
        <v>11</v>
      </c>
      <c r="KW6" s="22" t="s">
        <v>12</v>
      </c>
      <c r="KX6" s="22" t="s">
        <v>20</v>
      </c>
      <c r="KY6" s="22" t="s">
        <v>14</v>
      </c>
      <c r="KZ6" s="22" t="s">
        <v>16</v>
      </c>
      <c r="LA6" s="22" t="s">
        <v>4</v>
      </c>
      <c r="LB6" s="22" t="s">
        <v>27</v>
      </c>
      <c r="LC6" s="22" t="s">
        <v>6</v>
      </c>
      <c r="LD6" s="22" t="s">
        <v>7</v>
      </c>
      <c r="LE6" s="22" t="s">
        <v>8</v>
      </c>
      <c r="LF6" s="22" t="s">
        <v>9</v>
      </c>
      <c r="LG6" s="22" t="s">
        <v>24</v>
      </c>
      <c r="LH6" s="22" t="s">
        <v>11</v>
      </c>
      <c r="LI6" s="22" t="s">
        <v>12</v>
      </c>
      <c r="LJ6" s="22" t="s">
        <v>20</v>
      </c>
      <c r="LK6" s="22" t="s">
        <v>14</v>
      </c>
      <c r="LL6" s="22" t="s">
        <v>22</v>
      </c>
      <c r="LM6" s="22" t="s">
        <v>19</v>
      </c>
      <c r="LN6" s="22" t="s">
        <v>5</v>
      </c>
      <c r="LO6" s="22" t="s">
        <v>15</v>
      </c>
      <c r="LP6" s="22" t="s">
        <v>7</v>
      </c>
      <c r="LQ6" s="22" t="s">
        <v>8</v>
      </c>
      <c r="LR6" s="22" t="s">
        <v>18</v>
      </c>
      <c r="LS6" s="22" t="s">
        <v>10</v>
      </c>
      <c r="LT6" s="22" t="s">
        <v>11</v>
      </c>
      <c r="LU6" s="22" t="s">
        <v>12</v>
      </c>
      <c r="LV6" s="22" t="s">
        <v>13</v>
      </c>
      <c r="LW6" s="22" t="s">
        <v>14</v>
      </c>
      <c r="LX6" s="22" t="s">
        <v>22</v>
      </c>
      <c r="LY6" s="22" t="s">
        <v>4</v>
      </c>
      <c r="LZ6" s="22" t="s">
        <v>5</v>
      </c>
      <c r="MA6" s="22" t="s">
        <v>6</v>
      </c>
      <c r="MB6" s="22" t="s">
        <v>17</v>
      </c>
      <c r="MC6" s="22" t="s">
        <v>8</v>
      </c>
      <c r="MD6" s="22" t="s">
        <v>18</v>
      </c>
      <c r="ME6" s="22" t="s">
        <v>24</v>
      </c>
      <c r="MF6" s="22" t="s">
        <v>11</v>
      </c>
      <c r="MG6" s="22" t="s">
        <v>101</v>
      </c>
      <c r="MH6" s="22" t="s">
        <v>20</v>
      </c>
      <c r="MI6" s="22" t="s">
        <v>14</v>
      </c>
      <c r="MJ6" s="22" t="s">
        <v>22</v>
      </c>
      <c r="MK6" s="22" t="s">
        <v>4</v>
      </c>
      <c r="ML6" s="22" t="s">
        <v>5</v>
      </c>
      <c r="MM6" s="22" t="s">
        <v>6</v>
      </c>
      <c r="MN6" s="22" t="s">
        <v>17</v>
      </c>
      <c r="MO6" s="22" t="s">
        <v>8</v>
      </c>
      <c r="MP6" s="22" t="s">
        <v>18</v>
      </c>
      <c r="MQ6" s="22" t="s">
        <v>24</v>
      </c>
      <c r="MR6" s="22" t="s">
        <v>11</v>
      </c>
      <c r="MS6" s="22" t="s">
        <v>12</v>
      </c>
      <c r="MT6" s="22" t="s">
        <v>20</v>
      </c>
      <c r="MU6" s="22" t="s">
        <v>14</v>
      </c>
      <c r="MV6" s="22" t="s">
        <v>22</v>
      </c>
      <c r="MW6" s="22" t="s">
        <v>4</v>
      </c>
      <c r="MX6" s="22" t="s">
        <v>5</v>
      </c>
      <c r="MY6" s="22" t="s">
        <v>15</v>
      </c>
      <c r="MZ6" s="22" t="s">
        <v>7</v>
      </c>
      <c r="NA6" s="22" t="s">
        <v>8</v>
      </c>
      <c r="NB6" s="22" t="s">
        <v>18</v>
      </c>
      <c r="NC6" s="22" t="s">
        <v>24</v>
      </c>
      <c r="ND6" s="22" t="s">
        <v>11</v>
      </c>
      <c r="NE6" s="22" t="s">
        <v>12</v>
      </c>
      <c r="NF6" s="22" t="s">
        <v>20</v>
      </c>
      <c r="NG6" s="22" t="s">
        <v>14</v>
      </c>
      <c r="NH6" s="22" t="s">
        <v>22</v>
      </c>
      <c r="NI6" s="22" t="s">
        <v>19</v>
      </c>
      <c r="NJ6" s="22" t="s">
        <v>27</v>
      </c>
      <c r="NK6" s="22" t="s">
        <v>6</v>
      </c>
      <c r="NL6" s="22" t="s">
        <v>7</v>
      </c>
      <c r="NM6" s="22" t="s">
        <v>8</v>
      </c>
      <c r="NN6" s="22" t="s">
        <v>9</v>
      </c>
      <c r="NO6" s="22" t="s">
        <v>10</v>
      </c>
      <c r="NP6" s="22" t="s">
        <v>11</v>
      </c>
      <c r="NQ6" s="22" t="s">
        <v>12</v>
      </c>
      <c r="NR6" s="22" t="s">
        <v>20</v>
      </c>
      <c r="NS6" s="22" t="s">
        <v>14</v>
      </c>
      <c r="NT6" s="22" t="s">
        <v>16</v>
      </c>
      <c r="NU6" s="22" t="s">
        <v>19</v>
      </c>
      <c r="NV6" s="22" t="s">
        <v>5</v>
      </c>
      <c r="NW6" s="22" t="s">
        <v>6</v>
      </c>
      <c r="NX6" s="22" t="s">
        <v>7</v>
      </c>
      <c r="NY6" s="22" t="s">
        <v>8</v>
      </c>
      <c r="NZ6" s="22" t="s">
        <v>18</v>
      </c>
      <c r="OA6" s="22" t="s">
        <v>24</v>
      </c>
      <c r="OB6" s="22" t="s">
        <v>11</v>
      </c>
      <c r="OC6" s="22" t="s">
        <v>12</v>
      </c>
      <c r="OD6" s="22" t="s">
        <v>13</v>
      </c>
      <c r="OE6" s="22" t="s">
        <v>14</v>
      </c>
      <c r="OF6" s="22" t="s">
        <v>16</v>
      </c>
      <c r="OG6" s="22" t="s">
        <v>4</v>
      </c>
      <c r="OH6" s="22" t="s">
        <v>5</v>
      </c>
      <c r="OI6" s="22" t="s">
        <v>15</v>
      </c>
      <c r="OJ6" s="22" t="s">
        <v>7</v>
      </c>
      <c r="OK6" s="22" t="s">
        <v>8</v>
      </c>
      <c r="OL6" s="22" t="s">
        <v>18</v>
      </c>
    </row>
    <row r="7" spans="1:402" s="145" customFormat="1" ht="19.5" customHeight="1" x14ac:dyDescent="0.35">
      <c r="A7" s="12" t="s">
        <v>28</v>
      </c>
      <c r="B7" s="156">
        <f>'[1]Sept 07'!C45</f>
        <v>3761</v>
      </c>
      <c r="C7" s="156">
        <f>'[1]Oct 07'!C45</f>
        <v>3876</v>
      </c>
      <c r="D7" s="156">
        <f>'[1]Nov 07'!C45</f>
        <v>3950</v>
      </c>
      <c r="E7" s="156">
        <f>'[1]Dec 07'!C45</f>
        <v>3743</v>
      </c>
      <c r="F7" s="156">
        <f>'[1]Jan 08'!C45</f>
        <v>4154</v>
      </c>
      <c r="G7" s="143">
        <f>'[1]Feb 08'!C45</f>
        <v>4254</v>
      </c>
      <c r="H7" s="143">
        <f>'[1]Mar 08'!C45</f>
        <v>4304</v>
      </c>
      <c r="I7" s="143">
        <v>4249</v>
      </c>
      <c r="J7" s="143">
        <f>'[1]May 08'!C45</f>
        <v>4063</v>
      </c>
      <c r="K7" s="143">
        <f>'[1]Jun 08'!C45</f>
        <v>3941</v>
      </c>
      <c r="L7" s="143">
        <f>'[1]Jul 08'!C45</f>
        <v>3872</v>
      </c>
      <c r="M7" s="143">
        <f>'[1]Aug 08'!C45</f>
        <v>3839</v>
      </c>
      <c r="N7" s="143">
        <v>3839</v>
      </c>
      <c r="O7" s="143">
        <v>3969</v>
      </c>
      <c r="P7" s="143">
        <v>4072</v>
      </c>
      <c r="Q7" s="143">
        <v>3790</v>
      </c>
      <c r="R7" s="143">
        <v>3964</v>
      </c>
      <c r="S7" s="143">
        <v>4007</v>
      </c>
      <c r="T7" s="143">
        <v>3933</v>
      </c>
      <c r="U7" s="143">
        <v>3661</v>
      </c>
      <c r="V7" s="143">
        <v>3224</v>
      </c>
      <c r="W7" s="143">
        <v>2907</v>
      </c>
      <c r="X7" s="143">
        <v>2782</v>
      </c>
      <c r="Y7" s="143">
        <v>2752</v>
      </c>
      <c r="Z7" s="143">
        <v>2829</v>
      </c>
      <c r="AA7" s="143">
        <v>2917</v>
      </c>
      <c r="AB7" s="143">
        <v>2910</v>
      </c>
      <c r="AC7" s="143">
        <v>2755</v>
      </c>
      <c r="AD7" s="143">
        <v>2927</v>
      </c>
      <c r="AE7" s="143">
        <v>2924</v>
      </c>
      <c r="AF7" s="143">
        <v>2896</v>
      </c>
      <c r="AG7" s="143">
        <v>2793</v>
      </c>
      <c r="AH7" s="143">
        <v>2653</v>
      </c>
      <c r="AI7" s="143">
        <v>2556</v>
      </c>
      <c r="AJ7" s="143">
        <v>2568</v>
      </c>
      <c r="AK7" s="143">
        <v>2588</v>
      </c>
      <c r="AL7" s="143">
        <v>2725</v>
      </c>
      <c r="AM7" s="143">
        <v>2718</v>
      </c>
      <c r="AN7" s="143">
        <v>2696</v>
      </c>
      <c r="AO7" s="143">
        <v>2585</v>
      </c>
      <c r="AP7" s="143">
        <v>2591</v>
      </c>
      <c r="AQ7" s="143">
        <v>2488</v>
      </c>
      <c r="AR7" s="143">
        <v>2332</v>
      </c>
      <c r="AS7" s="143">
        <v>2167</v>
      </c>
      <c r="AT7" s="143">
        <v>1908</v>
      </c>
      <c r="AU7" s="143">
        <v>1734</v>
      </c>
      <c r="AV7" s="143">
        <v>1638</v>
      </c>
      <c r="AW7" s="143">
        <v>1597</v>
      </c>
      <c r="AX7" s="143">
        <v>1640</v>
      </c>
      <c r="AY7" s="143">
        <v>1776</v>
      </c>
      <c r="AZ7" s="143">
        <v>1782</v>
      </c>
      <c r="BA7" s="143">
        <v>1682</v>
      </c>
      <c r="BB7" s="143">
        <v>1756</v>
      </c>
      <c r="BC7" s="143">
        <v>1716</v>
      </c>
      <c r="BD7" s="143">
        <v>1604</v>
      </c>
      <c r="BE7" s="143">
        <v>1435</v>
      </c>
      <c r="BF7" s="143">
        <v>1359</v>
      </c>
      <c r="BG7" s="143">
        <v>1298</v>
      </c>
      <c r="BH7" s="143">
        <v>1269</v>
      </c>
      <c r="BI7" s="143">
        <v>1253</v>
      </c>
      <c r="BJ7" s="143">
        <v>1320</v>
      </c>
      <c r="BK7" s="143">
        <v>1484</v>
      </c>
      <c r="BL7" s="143">
        <v>1568</v>
      </c>
      <c r="BM7" s="143">
        <v>1456</v>
      </c>
      <c r="BN7" s="143">
        <v>1557</v>
      </c>
      <c r="BO7" s="143">
        <v>1574</v>
      </c>
      <c r="BP7" s="143">
        <v>1619</v>
      </c>
      <c r="BQ7" s="143">
        <v>1528</v>
      </c>
      <c r="BR7" s="143">
        <v>1463</v>
      </c>
      <c r="BS7" s="143">
        <v>1349</v>
      </c>
      <c r="BT7" s="143">
        <v>1341</v>
      </c>
      <c r="BU7" s="143">
        <v>1431</v>
      </c>
      <c r="BV7" s="143">
        <v>1608</v>
      </c>
      <c r="BW7" s="143">
        <v>1925</v>
      </c>
      <c r="BX7" s="143">
        <v>1947</v>
      </c>
      <c r="BY7" s="143">
        <v>1889</v>
      </c>
      <c r="BZ7" s="143">
        <v>2243</v>
      </c>
      <c r="CA7" s="143">
        <v>2356</v>
      </c>
      <c r="CB7" s="143">
        <v>2400</v>
      </c>
      <c r="CC7" s="143">
        <v>2372</v>
      </c>
      <c r="CD7" s="143">
        <v>2286</v>
      </c>
      <c r="CE7" s="143">
        <v>2047</v>
      </c>
      <c r="CF7" s="143">
        <v>1920</v>
      </c>
      <c r="CG7" s="143">
        <v>1856</v>
      </c>
      <c r="CH7" s="143">
        <v>1900</v>
      </c>
      <c r="CI7" s="143">
        <v>2107</v>
      </c>
      <c r="CJ7" s="143">
        <v>2165</v>
      </c>
      <c r="CK7" s="143">
        <v>2042</v>
      </c>
      <c r="CL7" s="143">
        <v>2286</v>
      </c>
      <c r="CM7" s="143">
        <v>2330</v>
      </c>
      <c r="CN7" s="143">
        <v>2315</v>
      </c>
      <c r="CO7" s="143">
        <v>2321</v>
      </c>
      <c r="CP7" s="143">
        <v>2194</v>
      </c>
      <c r="CQ7" s="143">
        <v>1955</v>
      </c>
      <c r="CR7" s="143">
        <v>1831</v>
      </c>
      <c r="CS7" s="143">
        <v>1738</v>
      </c>
      <c r="CT7" s="143">
        <v>1844</v>
      </c>
      <c r="CU7" s="143">
        <v>2102</v>
      </c>
      <c r="CV7" s="143">
        <v>2120</v>
      </c>
      <c r="CW7" s="143">
        <v>2038</v>
      </c>
      <c r="CX7" s="143">
        <v>2360</v>
      </c>
      <c r="CY7" s="143">
        <v>2575</v>
      </c>
      <c r="CZ7" s="143">
        <v>2612</v>
      </c>
      <c r="DA7" s="143">
        <v>2531</v>
      </c>
      <c r="DB7" s="143">
        <v>2367</v>
      </c>
      <c r="DC7" s="143">
        <v>2128</v>
      </c>
      <c r="DD7" s="143">
        <v>1936</v>
      </c>
      <c r="DE7" s="143">
        <v>1824</v>
      </c>
      <c r="DF7" s="143">
        <v>1957</v>
      </c>
      <c r="DG7" s="143">
        <v>2166</v>
      </c>
      <c r="DH7" s="143">
        <v>2194</v>
      </c>
      <c r="DI7" s="143">
        <v>2085</v>
      </c>
      <c r="DJ7" s="143">
        <v>2209</v>
      </c>
      <c r="DK7" s="143">
        <v>2317</v>
      </c>
      <c r="DL7" s="143">
        <v>2404</v>
      </c>
      <c r="DM7" s="143">
        <v>2300</v>
      </c>
      <c r="DN7" s="143">
        <v>2132</v>
      </c>
      <c r="DO7" s="143">
        <v>1903</v>
      </c>
      <c r="DP7" s="143">
        <v>1749</v>
      </c>
      <c r="DQ7" s="143">
        <v>1746</v>
      </c>
      <c r="DR7" s="143">
        <v>1835</v>
      </c>
      <c r="DS7" s="143">
        <v>1985</v>
      </c>
      <c r="DT7" s="143">
        <v>1980</v>
      </c>
      <c r="DU7" s="143">
        <v>1858</v>
      </c>
      <c r="DV7" s="143">
        <v>2004</v>
      </c>
      <c r="DW7" s="143">
        <v>2006</v>
      </c>
      <c r="DX7" s="143">
        <v>2073</v>
      </c>
      <c r="DY7" s="143">
        <v>2005</v>
      </c>
      <c r="DZ7" s="143">
        <v>1796</v>
      </c>
      <c r="EA7" s="143">
        <v>1648</v>
      </c>
      <c r="EB7" s="143">
        <v>1474</v>
      </c>
      <c r="EC7" s="143">
        <v>1491</v>
      </c>
      <c r="ED7" s="143">
        <v>1573</v>
      </c>
      <c r="EE7" s="143">
        <v>1716</v>
      </c>
      <c r="EF7" s="143">
        <v>1738</v>
      </c>
      <c r="EG7" s="143">
        <v>1665</v>
      </c>
      <c r="EH7" s="143">
        <v>1876</v>
      </c>
      <c r="EI7" s="143">
        <v>1950</v>
      </c>
      <c r="EJ7" s="143">
        <v>1982</v>
      </c>
      <c r="EK7" s="143">
        <v>1892</v>
      </c>
      <c r="EL7" s="143">
        <v>1774</v>
      </c>
      <c r="EM7" s="143">
        <v>1556</v>
      </c>
      <c r="EN7" s="143">
        <v>1300</v>
      </c>
      <c r="EO7" s="143">
        <v>1240</v>
      </c>
      <c r="EP7" s="143">
        <v>1261</v>
      </c>
      <c r="EQ7" s="143">
        <v>1376</v>
      </c>
      <c r="ER7" s="143">
        <v>1372</v>
      </c>
      <c r="ES7" s="143">
        <v>1259</v>
      </c>
      <c r="ET7" s="143">
        <v>1233</v>
      </c>
      <c r="EU7" s="143">
        <v>1179</v>
      </c>
      <c r="EV7" s="143">
        <v>1318</v>
      </c>
      <c r="EW7" s="143">
        <v>1319</v>
      </c>
      <c r="EX7" s="143">
        <v>1205</v>
      </c>
      <c r="EY7" s="143">
        <v>1019</v>
      </c>
      <c r="EZ7" s="143">
        <v>914</v>
      </c>
      <c r="FA7" s="143">
        <v>864</v>
      </c>
      <c r="FB7" s="143">
        <v>924</v>
      </c>
      <c r="FC7" s="143">
        <v>884</v>
      </c>
      <c r="FD7" s="143">
        <v>750</v>
      </c>
      <c r="FE7" s="143">
        <v>586</v>
      </c>
      <c r="FF7" s="143">
        <v>481</v>
      </c>
      <c r="FG7" s="143">
        <v>414</v>
      </c>
      <c r="FH7" s="143">
        <v>411</v>
      </c>
      <c r="FI7" s="143">
        <v>486</v>
      </c>
      <c r="FJ7" s="143">
        <v>469</v>
      </c>
      <c r="FK7" s="143">
        <v>504</v>
      </c>
      <c r="FL7" s="143">
        <v>538</v>
      </c>
      <c r="FM7" s="143">
        <v>524</v>
      </c>
      <c r="FN7" s="143">
        <v>548</v>
      </c>
      <c r="FO7" s="143">
        <v>498</v>
      </c>
      <c r="FP7" s="143">
        <v>430</v>
      </c>
      <c r="FQ7" s="143">
        <v>356</v>
      </c>
      <c r="FR7" s="143">
        <v>306</v>
      </c>
      <c r="FS7" s="143">
        <v>312</v>
      </c>
      <c r="FT7" s="143">
        <v>346</v>
      </c>
      <c r="FU7" s="143">
        <v>450</v>
      </c>
      <c r="FV7" s="143">
        <v>685</v>
      </c>
      <c r="FW7" s="143">
        <v>958</v>
      </c>
      <c r="FX7" s="143">
        <v>1091</v>
      </c>
      <c r="FY7" s="143">
        <v>1054</v>
      </c>
      <c r="FZ7" s="143">
        <v>1152</v>
      </c>
      <c r="GA7" s="143">
        <v>1203</v>
      </c>
      <c r="GB7" s="143">
        <v>1126</v>
      </c>
      <c r="GC7" s="143">
        <v>954</v>
      </c>
      <c r="GD7" s="143">
        <v>1097</v>
      </c>
      <c r="GE7" s="143">
        <v>1072</v>
      </c>
      <c r="GF7" s="143">
        <v>1057</v>
      </c>
      <c r="GG7" s="143">
        <v>979</v>
      </c>
      <c r="GH7" s="143">
        <v>911</v>
      </c>
      <c r="GI7" s="143">
        <v>823</v>
      </c>
      <c r="GJ7" s="143">
        <v>829</v>
      </c>
      <c r="GK7" s="143">
        <v>849</v>
      </c>
      <c r="GL7" s="143">
        <v>940</v>
      </c>
      <c r="GM7" s="143">
        <v>1106</v>
      </c>
      <c r="GN7" s="143">
        <v>1105</v>
      </c>
      <c r="GO7" s="143">
        <v>966</v>
      </c>
      <c r="GP7" s="143">
        <v>1178</v>
      </c>
      <c r="GQ7" s="143">
        <v>1240</v>
      </c>
      <c r="GR7" s="143">
        <v>1234</v>
      </c>
      <c r="GS7" s="143">
        <f>SUM(B7:GR7)/198</f>
        <v>1918.4595959595961</v>
      </c>
      <c r="GT7" s="152"/>
      <c r="GU7" s="12" t="s">
        <v>29</v>
      </c>
      <c r="GV7" s="145" t="s">
        <v>30</v>
      </c>
      <c r="GW7" s="145">
        <f t="shared" ref="GW7:IB7" si="0">(C7-B7)/B7</f>
        <v>3.057697420898697E-2</v>
      </c>
      <c r="GX7" s="145">
        <f t="shared" si="0"/>
        <v>1.9091847265221878E-2</v>
      </c>
      <c r="GY7" s="145">
        <f t="shared" si="0"/>
        <v>-5.2405063291139239E-2</v>
      </c>
      <c r="GZ7" s="145">
        <f t="shared" si="0"/>
        <v>0.10980496927598184</v>
      </c>
      <c r="HA7" s="145">
        <f t="shared" si="0"/>
        <v>2.4073182474723159E-2</v>
      </c>
      <c r="HB7" s="145">
        <f t="shared" si="0"/>
        <v>1.1753643629525154E-2</v>
      </c>
      <c r="HC7" s="145">
        <f t="shared" si="0"/>
        <v>-1.2778810408921933E-2</v>
      </c>
      <c r="HD7" s="145">
        <f t="shared" si="0"/>
        <v>-4.3775005883737353E-2</v>
      </c>
      <c r="HE7" s="145">
        <f t="shared" si="0"/>
        <v>-3.0027073590942654E-2</v>
      </c>
      <c r="HF7" s="145">
        <f t="shared" si="0"/>
        <v>-1.7508246637909161E-2</v>
      </c>
      <c r="HG7" s="145">
        <f t="shared" si="0"/>
        <v>-8.5227272727272721E-3</v>
      </c>
      <c r="HH7" s="145">
        <f t="shared" si="0"/>
        <v>0</v>
      </c>
      <c r="HI7" s="145">
        <f t="shared" si="0"/>
        <v>3.386298515238343E-2</v>
      </c>
      <c r="HJ7" s="145">
        <f t="shared" si="0"/>
        <v>2.5951121189216428E-2</v>
      </c>
      <c r="HK7" s="145">
        <f t="shared" si="0"/>
        <v>-6.925343811394892E-2</v>
      </c>
      <c r="HL7" s="145">
        <f t="shared" si="0"/>
        <v>4.5910290237467018E-2</v>
      </c>
      <c r="HM7" s="145">
        <f t="shared" si="0"/>
        <v>1.0847628657921292E-2</v>
      </c>
      <c r="HN7" s="145">
        <f t="shared" si="0"/>
        <v>-1.8467681557274768E-2</v>
      </c>
      <c r="HO7" s="145">
        <f t="shared" si="0"/>
        <v>-6.9158403254513098E-2</v>
      </c>
      <c r="HP7" s="145">
        <f t="shared" si="0"/>
        <v>-0.11936629336246928</v>
      </c>
      <c r="HQ7" s="145">
        <f t="shared" si="0"/>
        <v>-9.8325062034739452E-2</v>
      </c>
      <c r="HR7" s="145">
        <f t="shared" si="0"/>
        <v>-4.2999656002751976E-2</v>
      </c>
      <c r="HS7" s="145">
        <f t="shared" si="0"/>
        <v>-1.0783608914450037E-2</v>
      </c>
      <c r="HT7" s="145">
        <f t="shared" si="0"/>
        <v>2.7979651162790699E-2</v>
      </c>
      <c r="HU7" s="145">
        <f t="shared" si="0"/>
        <v>3.1106398020501944E-2</v>
      </c>
      <c r="HV7" s="145">
        <f t="shared" si="0"/>
        <v>-2.3997257456290708E-3</v>
      </c>
      <c r="HW7" s="145">
        <f t="shared" si="0"/>
        <v>-5.3264604810996562E-2</v>
      </c>
      <c r="HX7" s="145">
        <f t="shared" si="0"/>
        <v>6.2431941923774957E-2</v>
      </c>
      <c r="HY7" s="145">
        <f t="shared" si="0"/>
        <v>-1.0249402118209772E-3</v>
      </c>
      <c r="HZ7" s="145">
        <f t="shared" si="0"/>
        <v>-9.575923392612859E-3</v>
      </c>
      <c r="IA7" s="145">
        <f t="shared" si="0"/>
        <v>-3.5566298342541436E-2</v>
      </c>
      <c r="IB7" s="145">
        <f t="shared" si="0"/>
        <v>-5.0125313283208017E-2</v>
      </c>
      <c r="IC7" s="145">
        <f t="shared" ref="IC7:JH7" si="1">(AI7-AH7)/AH7</f>
        <v>-3.6562382208820202E-2</v>
      </c>
      <c r="ID7" s="145">
        <f t="shared" si="1"/>
        <v>4.6948356807511738E-3</v>
      </c>
      <c r="IE7" s="145">
        <f t="shared" si="1"/>
        <v>7.7881619937694704E-3</v>
      </c>
      <c r="IF7" s="145">
        <f t="shared" si="1"/>
        <v>5.2936630602782073E-2</v>
      </c>
      <c r="IG7" s="145">
        <f t="shared" si="1"/>
        <v>-2.5688073394495412E-3</v>
      </c>
      <c r="IH7" s="145">
        <f t="shared" si="1"/>
        <v>-8.0941869021339229E-3</v>
      </c>
      <c r="II7" s="145">
        <f t="shared" si="1"/>
        <v>-4.1172106824925815E-2</v>
      </c>
      <c r="IJ7" s="145">
        <f t="shared" si="1"/>
        <v>2.3210831721470018E-3</v>
      </c>
      <c r="IK7" s="145">
        <f t="shared" si="1"/>
        <v>-3.9752991123118489E-2</v>
      </c>
      <c r="IL7" s="145">
        <f t="shared" si="1"/>
        <v>-6.2700964630225078E-2</v>
      </c>
      <c r="IM7" s="145">
        <f t="shared" si="1"/>
        <v>-7.0754716981132074E-2</v>
      </c>
      <c r="IN7" s="145">
        <f t="shared" si="1"/>
        <v>-0.11952007383479464</v>
      </c>
      <c r="IO7" s="145">
        <f t="shared" si="1"/>
        <v>-9.1194968553459113E-2</v>
      </c>
      <c r="IP7" s="145">
        <f t="shared" si="1"/>
        <v>-5.536332179930796E-2</v>
      </c>
      <c r="IQ7" s="145">
        <f t="shared" si="1"/>
        <v>-2.5030525030525032E-2</v>
      </c>
      <c r="IR7" s="145">
        <f t="shared" si="1"/>
        <v>2.6925485284909206E-2</v>
      </c>
      <c r="IS7" s="145">
        <f t="shared" si="1"/>
        <v>8.2926829268292687E-2</v>
      </c>
      <c r="IT7" s="145">
        <f t="shared" si="1"/>
        <v>3.3783783783783786E-3</v>
      </c>
      <c r="IU7" s="145">
        <f t="shared" si="1"/>
        <v>-5.6116722783389451E-2</v>
      </c>
      <c r="IV7" s="145">
        <f t="shared" si="1"/>
        <v>4.3995243757431628E-2</v>
      </c>
      <c r="IW7" s="145">
        <f t="shared" si="1"/>
        <v>-2.2779043280182234E-2</v>
      </c>
      <c r="IX7" s="145">
        <f t="shared" si="1"/>
        <v>-6.5268065268065265E-2</v>
      </c>
      <c r="IY7" s="145">
        <f t="shared" si="1"/>
        <v>-0.10536159600997506</v>
      </c>
      <c r="IZ7" s="145">
        <f t="shared" si="1"/>
        <v>-5.2961672473867599E-2</v>
      </c>
      <c r="JA7" s="145">
        <f t="shared" si="1"/>
        <v>-4.4885945548197206E-2</v>
      </c>
      <c r="JB7" s="145">
        <f t="shared" si="1"/>
        <v>-2.2342064714946069E-2</v>
      </c>
      <c r="JC7" s="145">
        <f t="shared" si="1"/>
        <v>-1.260835303388495E-2</v>
      </c>
      <c r="JD7" s="145">
        <f t="shared" si="1"/>
        <v>5.3471667996807665E-2</v>
      </c>
      <c r="JE7" s="145">
        <f t="shared" si="1"/>
        <v>0.12424242424242424</v>
      </c>
      <c r="JF7" s="145">
        <f t="shared" si="1"/>
        <v>5.6603773584905662E-2</v>
      </c>
      <c r="JG7" s="145">
        <f t="shared" si="1"/>
        <v>-7.1428571428571425E-2</v>
      </c>
      <c r="JH7" s="145">
        <f t="shared" si="1"/>
        <v>6.9368131868131871E-2</v>
      </c>
      <c r="JI7" s="145">
        <f t="shared" ref="JI7:KN7" si="2">(BO7-BN7)/BN7</f>
        <v>1.0918432883750802E-2</v>
      </c>
      <c r="JJ7" s="145">
        <f t="shared" si="2"/>
        <v>2.8589580686149935E-2</v>
      </c>
      <c r="JK7" s="145">
        <f t="shared" si="2"/>
        <v>-5.6207535515750466E-2</v>
      </c>
      <c r="JL7" s="145">
        <f t="shared" si="2"/>
        <v>-4.253926701570681E-2</v>
      </c>
      <c r="JM7" s="145">
        <f t="shared" si="2"/>
        <v>-7.792207792207792E-2</v>
      </c>
      <c r="JN7" s="145">
        <f t="shared" si="2"/>
        <v>-5.9303187546330613E-3</v>
      </c>
      <c r="JO7" s="145">
        <f t="shared" si="2"/>
        <v>6.7114093959731544E-2</v>
      </c>
      <c r="JP7" s="145">
        <f t="shared" si="2"/>
        <v>0.12368972746331237</v>
      </c>
      <c r="JQ7" s="145">
        <f t="shared" si="2"/>
        <v>0.19713930348258707</v>
      </c>
      <c r="JR7" s="145">
        <f t="shared" si="2"/>
        <v>1.1428571428571429E-2</v>
      </c>
      <c r="JS7" s="145">
        <f t="shared" si="2"/>
        <v>-2.9789419619928096E-2</v>
      </c>
      <c r="JT7" s="145">
        <f t="shared" si="2"/>
        <v>0.18740074113287453</v>
      </c>
      <c r="JU7" s="145">
        <f t="shared" si="2"/>
        <v>5.0378956754346858E-2</v>
      </c>
      <c r="JV7" s="145">
        <f t="shared" si="2"/>
        <v>1.8675721561969439E-2</v>
      </c>
      <c r="JW7" s="145">
        <f t="shared" si="2"/>
        <v>-1.1666666666666667E-2</v>
      </c>
      <c r="JX7" s="145">
        <f t="shared" si="2"/>
        <v>-3.6256323777403038E-2</v>
      </c>
      <c r="JY7" s="145">
        <f t="shared" si="2"/>
        <v>-0.10454943132108487</v>
      </c>
      <c r="JZ7" s="145">
        <f t="shared" si="2"/>
        <v>-6.204201270151441E-2</v>
      </c>
      <c r="KA7" s="145">
        <f t="shared" si="2"/>
        <v>-3.3333333333333333E-2</v>
      </c>
      <c r="KB7" s="145">
        <f t="shared" si="2"/>
        <v>2.3706896551724137E-2</v>
      </c>
      <c r="KC7" s="145">
        <f t="shared" si="2"/>
        <v>0.10894736842105263</v>
      </c>
      <c r="KD7" s="145">
        <f t="shared" si="2"/>
        <v>2.7527289985761746E-2</v>
      </c>
      <c r="KE7" s="145">
        <f t="shared" si="2"/>
        <v>-5.6812933025404154E-2</v>
      </c>
      <c r="KF7" s="145">
        <f t="shared" si="2"/>
        <v>0.11949069539666993</v>
      </c>
      <c r="KG7" s="145">
        <f t="shared" si="2"/>
        <v>1.9247594050743656E-2</v>
      </c>
      <c r="KH7" s="145">
        <f t="shared" si="2"/>
        <v>-6.4377682403433476E-3</v>
      </c>
      <c r="KI7" s="145">
        <f t="shared" si="2"/>
        <v>2.5917926565874731E-3</v>
      </c>
      <c r="KJ7" s="145">
        <f t="shared" si="2"/>
        <v>-5.4717794054286943E-2</v>
      </c>
      <c r="KK7" s="145">
        <f t="shared" si="2"/>
        <v>-0.10893345487693711</v>
      </c>
      <c r="KL7" s="145">
        <f t="shared" si="2"/>
        <v>-6.342710997442455E-2</v>
      </c>
      <c r="KM7" s="145">
        <f t="shared" si="2"/>
        <v>-5.0791916985253961E-2</v>
      </c>
      <c r="KN7" s="145">
        <f t="shared" si="2"/>
        <v>6.0989643268124283E-2</v>
      </c>
      <c r="KO7" s="145">
        <f t="shared" ref="KO7:LT7" si="3">(CU7-CT7)/CT7</f>
        <v>0.13991323210412149</v>
      </c>
      <c r="KP7" s="145">
        <f t="shared" si="3"/>
        <v>8.5632730732635581E-3</v>
      </c>
      <c r="KQ7" s="145">
        <f t="shared" si="3"/>
        <v>-3.8679245283018866E-2</v>
      </c>
      <c r="KR7" s="145">
        <f t="shared" si="3"/>
        <v>0.15799803729146222</v>
      </c>
      <c r="KS7" s="145">
        <f t="shared" si="3"/>
        <v>9.110169491525423E-2</v>
      </c>
      <c r="KT7" s="145">
        <f t="shared" si="3"/>
        <v>1.4368932038834952E-2</v>
      </c>
      <c r="KU7" s="145">
        <f t="shared" si="3"/>
        <v>-3.1010719754977028E-2</v>
      </c>
      <c r="KV7" s="145">
        <f t="shared" si="3"/>
        <v>-6.4796523113393914E-2</v>
      </c>
      <c r="KW7" s="145">
        <f t="shared" si="3"/>
        <v>-0.10097169412758766</v>
      </c>
      <c r="KX7" s="145">
        <f t="shared" si="3"/>
        <v>-9.0225563909774431E-2</v>
      </c>
      <c r="KY7" s="145">
        <f t="shared" si="3"/>
        <v>-5.7851239669421489E-2</v>
      </c>
      <c r="KZ7" s="145">
        <f t="shared" si="3"/>
        <v>7.2916666666666671E-2</v>
      </c>
      <c r="LA7" s="145">
        <f t="shared" si="3"/>
        <v>0.10679611650485436</v>
      </c>
      <c r="LB7" s="145">
        <f t="shared" si="3"/>
        <v>1.2927054478301015E-2</v>
      </c>
      <c r="LC7" s="145">
        <f t="shared" si="3"/>
        <v>-4.9680948040109391E-2</v>
      </c>
      <c r="LD7" s="145">
        <f t="shared" si="3"/>
        <v>5.9472422062350122E-2</v>
      </c>
      <c r="LE7" s="145">
        <f t="shared" si="3"/>
        <v>4.88909008601177E-2</v>
      </c>
      <c r="LF7" s="145">
        <f t="shared" si="3"/>
        <v>3.7548554164868367E-2</v>
      </c>
      <c r="LG7" s="145">
        <f t="shared" si="3"/>
        <v>-4.3261231281198007E-2</v>
      </c>
      <c r="LH7" s="145">
        <f t="shared" si="3"/>
        <v>-7.3043478260869571E-2</v>
      </c>
      <c r="LI7" s="145">
        <f t="shared" si="3"/>
        <v>-0.10741088180112571</v>
      </c>
      <c r="LJ7" s="145">
        <f t="shared" si="3"/>
        <v>-8.0924855491329481E-2</v>
      </c>
      <c r="LK7" s="145">
        <f t="shared" si="3"/>
        <v>-1.7152658662092624E-3</v>
      </c>
      <c r="LL7" s="145">
        <f t="shared" si="3"/>
        <v>5.0973654066437571E-2</v>
      </c>
      <c r="LM7" s="145">
        <f t="shared" si="3"/>
        <v>8.1743869209809264E-2</v>
      </c>
      <c r="LN7" s="145">
        <f t="shared" si="3"/>
        <v>-2.5188916876574307E-3</v>
      </c>
      <c r="LO7" s="145">
        <f t="shared" si="3"/>
        <v>-6.1616161616161617E-2</v>
      </c>
      <c r="LP7" s="145">
        <f t="shared" si="3"/>
        <v>7.8579117330462869E-2</v>
      </c>
      <c r="LQ7" s="145">
        <f t="shared" si="3"/>
        <v>9.9800399201596798E-4</v>
      </c>
      <c r="LR7" s="145">
        <f t="shared" si="3"/>
        <v>3.3399800598205381E-2</v>
      </c>
      <c r="LS7" s="145">
        <f t="shared" si="3"/>
        <v>-3.2802701398938733E-2</v>
      </c>
      <c r="LT7" s="145">
        <f t="shared" si="3"/>
        <v>-0.10423940149625935</v>
      </c>
      <c r="LU7" s="145">
        <f t="shared" ref="LU7:MR7" si="4">(EA7-DZ7)/DZ7</f>
        <v>-8.2405345211581285E-2</v>
      </c>
      <c r="LV7" s="145">
        <f t="shared" si="4"/>
        <v>-0.10558252427184465</v>
      </c>
      <c r="LW7" s="145">
        <f t="shared" si="4"/>
        <v>1.1533242876526458E-2</v>
      </c>
      <c r="LX7" s="145">
        <f t="shared" si="4"/>
        <v>5.4996646545942322E-2</v>
      </c>
      <c r="LY7" s="145">
        <f t="shared" si="4"/>
        <v>9.0909090909090912E-2</v>
      </c>
      <c r="LZ7" s="145">
        <f t="shared" si="4"/>
        <v>1.282051282051282E-2</v>
      </c>
      <c r="MA7" s="145">
        <f t="shared" si="4"/>
        <v>-4.200230149597238E-2</v>
      </c>
      <c r="MB7" s="145">
        <f t="shared" si="4"/>
        <v>0.12672672672672672</v>
      </c>
      <c r="MC7" s="145">
        <f t="shared" si="4"/>
        <v>3.9445628997867806E-2</v>
      </c>
      <c r="MD7" s="145">
        <f t="shared" si="4"/>
        <v>1.641025641025641E-2</v>
      </c>
      <c r="ME7" s="145">
        <f t="shared" si="4"/>
        <v>-4.5408678102926335E-2</v>
      </c>
      <c r="MF7" s="145">
        <f t="shared" si="4"/>
        <v>-6.2367864693446087E-2</v>
      </c>
      <c r="MG7" s="145">
        <f t="shared" si="4"/>
        <v>-0.12288613303269448</v>
      </c>
      <c r="MH7" s="145">
        <f t="shared" si="4"/>
        <v>-0.16452442159383032</v>
      </c>
      <c r="MI7" s="145">
        <f t="shared" si="4"/>
        <v>-4.6153846153846156E-2</v>
      </c>
      <c r="MJ7" s="145">
        <f t="shared" si="4"/>
        <v>1.6935483870967744E-2</v>
      </c>
      <c r="MK7" s="145">
        <f t="shared" si="4"/>
        <v>9.1197462331482945E-2</v>
      </c>
      <c r="ML7" s="145">
        <f t="shared" si="4"/>
        <v>-2.9069767441860465E-3</v>
      </c>
      <c r="MM7" s="145">
        <f t="shared" si="4"/>
        <v>-8.2361516034985427E-2</v>
      </c>
      <c r="MN7" s="145">
        <f t="shared" si="4"/>
        <v>-2.0651310563939634E-2</v>
      </c>
      <c r="MO7" s="145">
        <f t="shared" si="4"/>
        <v>-4.3795620437956206E-2</v>
      </c>
      <c r="MP7" s="145">
        <f t="shared" si="4"/>
        <v>0.11789652247667515</v>
      </c>
      <c r="MQ7" s="145">
        <f t="shared" si="4"/>
        <v>7.5872534142640367E-4</v>
      </c>
      <c r="MR7" s="145">
        <f t="shared" si="4"/>
        <v>-8.642911296436695E-2</v>
      </c>
      <c r="MS7" s="145">
        <f>(EZ7-EY7)/EY7</f>
        <v>-0.10304219823356231</v>
      </c>
      <c r="MT7" s="145">
        <f t="shared" ref="MT7:NC11" si="5">(EZ7-EY7)/EZ7</f>
        <v>-0.11487964989059081</v>
      </c>
      <c r="MU7" s="145">
        <f t="shared" si="5"/>
        <v>-5.7870370370370371E-2</v>
      </c>
      <c r="MV7" s="145">
        <f t="shared" si="5"/>
        <v>6.4935064935064929E-2</v>
      </c>
      <c r="MW7" s="145">
        <f t="shared" si="5"/>
        <v>-4.5248868778280542E-2</v>
      </c>
      <c r="MX7" s="145">
        <f t="shared" si="5"/>
        <v>-0.17866666666666667</v>
      </c>
      <c r="MY7" s="145">
        <f t="shared" si="5"/>
        <v>-0.27986348122866894</v>
      </c>
      <c r="MZ7" s="145">
        <f t="shared" si="5"/>
        <v>-0.21829521829521831</v>
      </c>
      <c r="NA7" s="145">
        <f t="shared" si="5"/>
        <v>-0.16183574879227053</v>
      </c>
      <c r="NB7" s="145">
        <f t="shared" si="5"/>
        <v>-7.2992700729927005E-3</v>
      </c>
      <c r="NC7" s="145">
        <f t="shared" si="5"/>
        <v>0.15432098765432098</v>
      </c>
      <c r="ND7" s="145">
        <f t="shared" ref="ND7:NM11" si="6">(FJ7-FI7)/FJ7</f>
        <v>-3.6247334754797439E-2</v>
      </c>
      <c r="NE7" s="145">
        <f t="shared" si="6"/>
        <v>6.9444444444444448E-2</v>
      </c>
      <c r="NF7" s="145">
        <f t="shared" si="6"/>
        <v>6.3197026022304828E-2</v>
      </c>
      <c r="NG7" s="145">
        <f t="shared" si="6"/>
        <v>-2.6717557251908396E-2</v>
      </c>
      <c r="NH7" s="145">
        <f t="shared" si="6"/>
        <v>4.3795620437956206E-2</v>
      </c>
      <c r="NI7" s="145">
        <f t="shared" si="6"/>
        <v>-0.10040160642570281</v>
      </c>
      <c r="NJ7" s="145">
        <f t="shared" si="6"/>
        <v>-0.15813953488372093</v>
      </c>
      <c r="NK7" s="145">
        <f t="shared" si="6"/>
        <v>-0.20786516853932585</v>
      </c>
      <c r="NL7" s="145">
        <f t="shared" si="6"/>
        <v>-0.16339869281045752</v>
      </c>
      <c r="NM7" s="145">
        <f t="shared" si="6"/>
        <v>1.9230769230769232E-2</v>
      </c>
      <c r="NN7" s="145">
        <f t="shared" ref="NN7:NW11" si="7">(FT7-FS7)/FT7</f>
        <v>9.8265895953757232E-2</v>
      </c>
      <c r="NO7" s="145">
        <f t="shared" si="7"/>
        <v>0.2311111111111111</v>
      </c>
      <c r="NP7" s="145">
        <f t="shared" si="7"/>
        <v>0.34306569343065696</v>
      </c>
      <c r="NQ7" s="145">
        <f t="shared" si="7"/>
        <v>0.28496868475991649</v>
      </c>
      <c r="NR7" s="145">
        <f t="shared" si="7"/>
        <v>0.12190650779101742</v>
      </c>
      <c r="NS7" s="145">
        <f t="shared" si="7"/>
        <v>-3.510436432637571E-2</v>
      </c>
      <c r="NT7" s="145">
        <f t="shared" si="7"/>
        <v>8.5069444444444448E-2</v>
      </c>
      <c r="NU7" s="145">
        <f t="shared" si="7"/>
        <v>4.2394014962593519E-2</v>
      </c>
      <c r="NV7" s="145">
        <f t="shared" si="7"/>
        <v>-6.8383658969804612E-2</v>
      </c>
      <c r="NW7" s="145">
        <f t="shared" si="7"/>
        <v>-0.18029350104821804</v>
      </c>
      <c r="NX7" s="145">
        <f t="shared" ref="NX7:OL11" si="8">(GD7-GC7)/GD7</f>
        <v>0.13035551504102097</v>
      </c>
      <c r="NY7" s="145">
        <f t="shared" si="8"/>
        <v>-2.3320895522388061E-2</v>
      </c>
      <c r="NZ7" s="145">
        <f t="shared" si="8"/>
        <v>-1.4191106906338695E-2</v>
      </c>
      <c r="OA7" s="145">
        <f t="shared" si="8"/>
        <v>-7.9673135852911137E-2</v>
      </c>
      <c r="OB7" s="145">
        <f t="shared" si="8"/>
        <v>-7.4643249176728863E-2</v>
      </c>
      <c r="OC7" s="145">
        <f t="shared" si="8"/>
        <v>-0.10692588092345079</v>
      </c>
      <c r="OD7" s="145">
        <f t="shared" si="8"/>
        <v>7.2376357056694813E-3</v>
      </c>
      <c r="OE7" s="145">
        <f t="shared" si="8"/>
        <v>2.3557126030624265E-2</v>
      </c>
      <c r="OF7" s="145">
        <f t="shared" si="8"/>
        <v>9.6808510638297873E-2</v>
      </c>
      <c r="OG7" s="145">
        <f t="shared" si="8"/>
        <v>0.15009041591320071</v>
      </c>
      <c r="OH7" s="145">
        <f t="shared" si="8"/>
        <v>-9.049773755656109E-4</v>
      </c>
      <c r="OI7" s="145">
        <f t="shared" si="8"/>
        <v>-0.14389233954451347</v>
      </c>
      <c r="OJ7" s="145">
        <f t="shared" si="8"/>
        <v>0.17996604414261461</v>
      </c>
      <c r="OK7" s="145">
        <f t="shared" si="8"/>
        <v>0.05</v>
      </c>
      <c r="OL7" s="145">
        <f t="shared" si="8"/>
        <v>-4.8622366288492711E-3</v>
      </c>
    </row>
    <row r="8" spans="1:402" s="145" customFormat="1" ht="19.5" customHeight="1" x14ac:dyDescent="0.35">
      <c r="A8" s="12" t="s">
        <v>31</v>
      </c>
      <c r="B8" s="156"/>
      <c r="C8" s="156"/>
      <c r="D8" s="156"/>
      <c r="E8" s="156"/>
      <c r="F8" s="156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>
        <v>297</v>
      </c>
      <c r="DK8" s="143">
        <v>315</v>
      </c>
      <c r="DL8" s="143">
        <v>350</v>
      </c>
      <c r="DM8" s="143">
        <v>354</v>
      </c>
      <c r="DN8" s="143">
        <v>315</v>
      </c>
      <c r="DO8" s="143">
        <v>279</v>
      </c>
      <c r="DP8" s="143">
        <v>280</v>
      </c>
      <c r="DQ8" s="143">
        <v>242</v>
      </c>
      <c r="DR8" s="143">
        <v>272</v>
      </c>
      <c r="DS8" s="143">
        <v>277</v>
      </c>
      <c r="DT8" s="143">
        <v>269</v>
      </c>
      <c r="DU8" s="143">
        <v>222</v>
      </c>
      <c r="DV8" s="143">
        <v>298</v>
      </c>
      <c r="DW8" s="143">
        <v>328</v>
      </c>
      <c r="DX8" s="143">
        <v>337</v>
      </c>
      <c r="DY8" s="143">
        <v>390</v>
      </c>
      <c r="DZ8" s="143">
        <v>357</v>
      </c>
      <c r="EA8" s="143">
        <v>284</v>
      </c>
      <c r="EB8" s="143">
        <v>239</v>
      </c>
      <c r="EC8" s="143">
        <v>222</v>
      </c>
      <c r="ED8" s="143">
        <v>207</v>
      </c>
      <c r="EE8" s="143">
        <v>244</v>
      </c>
      <c r="EF8" s="143">
        <v>218</v>
      </c>
      <c r="EG8" s="143">
        <v>175</v>
      </c>
      <c r="EH8" s="143">
        <v>279</v>
      </c>
      <c r="EI8" s="143">
        <v>278</v>
      </c>
      <c r="EJ8" s="143">
        <v>336</v>
      </c>
      <c r="EK8" s="143">
        <v>350</v>
      </c>
      <c r="EL8" s="143">
        <v>325</v>
      </c>
      <c r="EM8" s="143">
        <v>271</v>
      </c>
      <c r="EN8" s="143">
        <v>259</v>
      </c>
      <c r="EO8" s="143">
        <v>243</v>
      </c>
      <c r="EP8" s="143">
        <v>221</v>
      </c>
      <c r="EQ8" s="143">
        <v>246</v>
      </c>
      <c r="ER8" s="143">
        <v>251</v>
      </c>
      <c r="ES8" s="143">
        <v>183</v>
      </c>
      <c r="ET8" s="143">
        <v>299</v>
      </c>
      <c r="EU8" s="143">
        <v>344</v>
      </c>
      <c r="EV8" s="143">
        <v>209</v>
      </c>
      <c r="EW8" s="143">
        <v>202</v>
      </c>
      <c r="EX8" s="143">
        <v>325</v>
      </c>
      <c r="EY8" s="143">
        <v>358</v>
      </c>
      <c r="EZ8" s="143">
        <v>312</v>
      </c>
      <c r="FA8" s="143">
        <v>334</v>
      </c>
      <c r="FB8" s="143">
        <v>382</v>
      </c>
      <c r="FC8" s="143">
        <v>378</v>
      </c>
      <c r="FD8" s="143">
        <v>378</v>
      </c>
      <c r="FE8" s="143">
        <v>294</v>
      </c>
      <c r="FF8" s="143">
        <v>369</v>
      </c>
      <c r="FG8" s="143">
        <v>321</v>
      </c>
      <c r="FH8" s="143">
        <v>343</v>
      </c>
      <c r="FI8" s="143">
        <v>324</v>
      </c>
      <c r="FJ8" s="143">
        <v>300</v>
      </c>
      <c r="FK8" s="143">
        <v>278</v>
      </c>
      <c r="FL8" s="143">
        <v>281</v>
      </c>
      <c r="FM8" s="143">
        <v>280</v>
      </c>
      <c r="FN8" s="143">
        <v>245</v>
      </c>
      <c r="FO8" s="143">
        <v>281</v>
      </c>
      <c r="FP8" s="143">
        <v>263</v>
      </c>
      <c r="FQ8" s="143">
        <v>187</v>
      </c>
      <c r="FR8" s="143">
        <v>234</v>
      </c>
      <c r="FS8" s="143">
        <v>229</v>
      </c>
      <c r="FT8" s="143">
        <v>228</v>
      </c>
      <c r="FU8" s="143">
        <v>240</v>
      </c>
      <c r="FV8" s="143">
        <v>226</v>
      </c>
      <c r="FW8" s="143">
        <v>172</v>
      </c>
      <c r="FX8" s="143">
        <v>149</v>
      </c>
      <c r="FY8" s="143">
        <v>151</v>
      </c>
      <c r="FZ8" s="143">
        <v>145</v>
      </c>
      <c r="GA8" s="143">
        <v>128</v>
      </c>
      <c r="GB8" s="143">
        <v>112</v>
      </c>
      <c r="GC8" s="143">
        <v>104</v>
      </c>
      <c r="GD8" s="143">
        <v>161</v>
      </c>
      <c r="GE8" s="143">
        <v>201</v>
      </c>
      <c r="GF8" s="143">
        <v>193</v>
      </c>
      <c r="GG8" s="143">
        <v>235</v>
      </c>
      <c r="GH8" s="143">
        <v>203</v>
      </c>
      <c r="GI8" s="143">
        <v>176</v>
      </c>
      <c r="GJ8" s="143">
        <v>146</v>
      </c>
      <c r="GK8" s="143">
        <v>131</v>
      </c>
      <c r="GL8" s="143">
        <v>117</v>
      </c>
      <c r="GM8" s="143">
        <v>132</v>
      </c>
      <c r="GN8" s="143">
        <v>126</v>
      </c>
      <c r="GO8" s="143">
        <v>100</v>
      </c>
      <c r="GP8" s="143">
        <v>171</v>
      </c>
      <c r="GQ8" s="143">
        <v>216</v>
      </c>
      <c r="GR8" s="143">
        <v>245</v>
      </c>
      <c r="GS8" s="143">
        <f>SUM(B8:GR8)/86</f>
        <v>255.47674418604652</v>
      </c>
      <c r="GT8" s="152"/>
      <c r="GU8" s="12" t="s">
        <v>31</v>
      </c>
      <c r="LE8" s="145">
        <f t="shared" ref="LE8:LN11" si="9">(DK8-DJ8)/DJ8</f>
        <v>6.0606060606060608E-2</v>
      </c>
      <c r="LF8" s="145">
        <f t="shared" si="9"/>
        <v>0.1111111111111111</v>
      </c>
      <c r="LG8" s="145">
        <f t="shared" si="9"/>
        <v>1.1428571428571429E-2</v>
      </c>
      <c r="LH8" s="145">
        <f t="shared" si="9"/>
        <v>-0.11016949152542373</v>
      </c>
      <c r="LI8" s="145">
        <f t="shared" si="9"/>
        <v>-0.11428571428571428</v>
      </c>
      <c r="LJ8" s="145">
        <f t="shared" si="9"/>
        <v>3.5842293906810036E-3</v>
      </c>
      <c r="LK8" s="145">
        <f t="shared" si="9"/>
        <v>-0.1357142857142857</v>
      </c>
      <c r="LL8" s="145">
        <f t="shared" si="9"/>
        <v>0.12396694214876033</v>
      </c>
      <c r="LM8" s="145">
        <f t="shared" si="9"/>
        <v>1.8382352941176471E-2</v>
      </c>
      <c r="LN8" s="145">
        <f t="shared" si="9"/>
        <v>-2.8880866425992781E-2</v>
      </c>
      <c r="LO8" s="145">
        <f t="shared" ref="LO8:LX11" si="10">(DU8-DT8)/DT8</f>
        <v>-0.17472118959107807</v>
      </c>
      <c r="LP8" s="145">
        <f t="shared" si="10"/>
        <v>0.34234234234234234</v>
      </c>
      <c r="LQ8" s="145">
        <f t="shared" si="10"/>
        <v>0.10067114093959731</v>
      </c>
      <c r="LR8" s="145">
        <f t="shared" si="10"/>
        <v>2.7439024390243903E-2</v>
      </c>
      <c r="LS8" s="145">
        <f t="shared" si="10"/>
        <v>0.15727002967359049</v>
      </c>
      <c r="LT8" s="145">
        <f t="shared" si="10"/>
        <v>-8.461538461538462E-2</v>
      </c>
      <c r="LU8" s="145">
        <f t="shared" si="10"/>
        <v>-0.20448179271708683</v>
      </c>
      <c r="LV8" s="145">
        <f t="shared" si="10"/>
        <v>-0.15845070422535212</v>
      </c>
      <c r="LW8" s="145">
        <f t="shared" si="10"/>
        <v>-7.1129707112970716E-2</v>
      </c>
      <c r="LX8" s="145">
        <f t="shared" si="10"/>
        <v>-6.7567567567567571E-2</v>
      </c>
      <c r="LY8" s="145">
        <f t="shared" ref="LY8:MH11" si="11">(EE8-ED8)/ED8</f>
        <v>0.17874396135265699</v>
      </c>
      <c r="LZ8" s="145">
        <f t="shared" si="11"/>
        <v>-0.10655737704918032</v>
      </c>
      <c r="MA8" s="145">
        <f t="shared" si="11"/>
        <v>-0.19724770642201836</v>
      </c>
      <c r="MB8" s="145">
        <f t="shared" si="11"/>
        <v>0.59428571428571431</v>
      </c>
      <c r="MC8" s="145">
        <f t="shared" si="11"/>
        <v>-3.5842293906810036E-3</v>
      </c>
      <c r="MD8" s="145">
        <f t="shared" si="11"/>
        <v>0.20863309352517986</v>
      </c>
      <c r="ME8" s="145">
        <f t="shared" si="11"/>
        <v>4.1666666666666664E-2</v>
      </c>
      <c r="MF8" s="145">
        <f t="shared" si="11"/>
        <v>-7.1428571428571425E-2</v>
      </c>
      <c r="MG8" s="145">
        <f t="shared" si="11"/>
        <v>-0.16615384615384615</v>
      </c>
      <c r="MH8" s="145">
        <f t="shared" si="11"/>
        <v>-4.4280442804428041E-2</v>
      </c>
      <c r="MI8" s="145">
        <f t="shared" ref="MI8:MR11" si="12">(EO8-EN8)/EN8</f>
        <v>-6.1776061776061778E-2</v>
      </c>
      <c r="MJ8" s="145">
        <f t="shared" si="12"/>
        <v>-9.0534979423868317E-2</v>
      </c>
      <c r="MK8" s="145">
        <f t="shared" si="12"/>
        <v>0.11312217194570136</v>
      </c>
      <c r="ML8" s="145">
        <f t="shared" si="12"/>
        <v>2.032520325203252E-2</v>
      </c>
      <c r="MM8" s="145">
        <f t="shared" si="12"/>
        <v>-0.27091633466135456</v>
      </c>
      <c r="MN8" s="145">
        <f t="shared" si="12"/>
        <v>0.63387978142076506</v>
      </c>
      <c r="MO8" s="145">
        <f t="shared" si="12"/>
        <v>0.15050167224080269</v>
      </c>
      <c r="MP8" s="145">
        <f t="shared" si="12"/>
        <v>-0.39244186046511625</v>
      </c>
      <c r="MQ8" s="145">
        <f t="shared" si="12"/>
        <v>-3.3492822966507178E-2</v>
      </c>
      <c r="MR8" s="145">
        <f t="shared" si="12"/>
        <v>0.6089108910891089</v>
      </c>
      <c r="MS8" s="145">
        <f>(EZ8-EY8)/EY8</f>
        <v>-0.12849162011173185</v>
      </c>
      <c r="MT8" s="145">
        <f t="shared" si="5"/>
        <v>-0.14743589743589744</v>
      </c>
      <c r="MU8" s="145">
        <f t="shared" si="5"/>
        <v>6.5868263473053898E-2</v>
      </c>
      <c r="MV8" s="145">
        <f t="shared" si="5"/>
        <v>0.1256544502617801</v>
      </c>
      <c r="MW8" s="145">
        <f t="shared" si="5"/>
        <v>-1.0582010582010581E-2</v>
      </c>
      <c r="MX8" s="145">
        <f t="shared" si="5"/>
        <v>0</v>
      </c>
      <c r="MY8" s="145">
        <f t="shared" si="5"/>
        <v>-0.2857142857142857</v>
      </c>
      <c r="MZ8" s="145">
        <f t="shared" si="5"/>
        <v>0.2032520325203252</v>
      </c>
      <c r="NA8" s="145">
        <f t="shared" si="5"/>
        <v>-0.14953271028037382</v>
      </c>
      <c r="NB8" s="145">
        <f t="shared" si="5"/>
        <v>6.4139941690962099E-2</v>
      </c>
      <c r="NC8" s="145">
        <f t="shared" si="5"/>
        <v>-5.8641975308641972E-2</v>
      </c>
      <c r="ND8" s="145">
        <f t="shared" si="6"/>
        <v>-0.08</v>
      </c>
      <c r="NE8" s="145">
        <f t="shared" si="6"/>
        <v>-7.9136690647482008E-2</v>
      </c>
      <c r="NF8" s="145">
        <f t="shared" si="6"/>
        <v>1.0676156583629894E-2</v>
      </c>
      <c r="NG8" s="145">
        <f t="shared" si="6"/>
        <v>-3.5714285714285713E-3</v>
      </c>
      <c r="NH8" s="145">
        <f t="shared" si="6"/>
        <v>-0.14285714285714285</v>
      </c>
      <c r="NI8" s="145">
        <f t="shared" si="6"/>
        <v>0.12811387900355872</v>
      </c>
      <c r="NJ8" s="145">
        <f t="shared" si="6"/>
        <v>-6.8441064638783272E-2</v>
      </c>
      <c r="NK8" s="145">
        <f t="shared" si="6"/>
        <v>-0.40641711229946526</v>
      </c>
      <c r="NL8" s="145">
        <f t="shared" si="6"/>
        <v>0.20085470085470086</v>
      </c>
      <c r="NM8" s="145">
        <f t="shared" si="6"/>
        <v>-2.1834061135371178E-2</v>
      </c>
      <c r="NN8" s="145">
        <f t="shared" si="7"/>
        <v>-4.3859649122807015E-3</v>
      </c>
      <c r="NO8" s="145">
        <f t="shared" si="7"/>
        <v>0.05</v>
      </c>
      <c r="NP8" s="145">
        <f t="shared" si="7"/>
        <v>-6.1946902654867256E-2</v>
      </c>
      <c r="NQ8" s="145">
        <f t="shared" si="7"/>
        <v>-0.31395348837209303</v>
      </c>
      <c r="NR8" s="145">
        <f t="shared" si="7"/>
        <v>-0.15436241610738255</v>
      </c>
      <c r="NS8" s="145">
        <f t="shared" si="7"/>
        <v>1.3245033112582781E-2</v>
      </c>
      <c r="NT8" s="145">
        <f t="shared" si="7"/>
        <v>-4.1379310344827586E-2</v>
      </c>
      <c r="NU8" s="145">
        <f t="shared" si="7"/>
        <v>-0.1328125</v>
      </c>
      <c r="NV8" s="145">
        <f t="shared" si="7"/>
        <v>-0.14285714285714285</v>
      </c>
      <c r="NW8" s="145">
        <f t="shared" si="7"/>
        <v>-7.6923076923076927E-2</v>
      </c>
      <c r="NX8" s="145">
        <f t="shared" si="8"/>
        <v>0.35403726708074534</v>
      </c>
      <c r="NY8" s="145">
        <f t="shared" si="8"/>
        <v>0.19900497512437812</v>
      </c>
      <c r="NZ8" s="145">
        <f t="shared" si="8"/>
        <v>-4.145077720207254E-2</v>
      </c>
      <c r="OA8" s="145">
        <f t="shared" si="8"/>
        <v>0.17872340425531916</v>
      </c>
      <c r="OB8" s="145">
        <f t="shared" si="8"/>
        <v>-0.15763546798029557</v>
      </c>
      <c r="OC8" s="145">
        <f t="shared" si="8"/>
        <v>-0.15340909090909091</v>
      </c>
      <c r="OD8" s="145">
        <f t="shared" si="8"/>
        <v>-0.20547945205479451</v>
      </c>
      <c r="OE8" s="145">
        <f t="shared" si="8"/>
        <v>-0.11450381679389313</v>
      </c>
      <c r="OF8" s="145">
        <f t="shared" si="8"/>
        <v>-0.11965811965811966</v>
      </c>
      <c r="OG8" s="145">
        <f t="shared" si="8"/>
        <v>0.11363636363636363</v>
      </c>
      <c r="OH8" s="145">
        <f t="shared" si="8"/>
        <v>-4.7619047619047616E-2</v>
      </c>
      <c r="OI8" s="145">
        <f t="shared" si="8"/>
        <v>-0.26</v>
      </c>
      <c r="OJ8" s="145">
        <f t="shared" si="8"/>
        <v>0.41520467836257308</v>
      </c>
      <c r="OK8" s="145">
        <f t="shared" si="8"/>
        <v>0.20833333333333334</v>
      </c>
      <c r="OL8" s="145">
        <f t="shared" si="8"/>
        <v>0.11836734693877551</v>
      </c>
    </row>
    <row r="9" spans="1:402" s="145" customFormat="1" ht="19.5" customHeight="1" x14ac:dyDescent="0.35">
      <c r="A9" s="12" t="s">
        <v>32</v>
      </c>
      <c r="B9" s="156">
        <f>'[1]Sept 07'!C47</f>
        <v>251</v>
      </c>
      <c r="C9" s="156">
        <f>'[1]Oct 07'!C47</f>
        <v>150</v>
      </c>
      <c r="D9" s="156">
        <f>'[1]Nov 07'!C47</f>
        <v>235</v>
      </c>
      <c r="E9" s="156">
        <f>'[1]Dec 07'!C47</f>
        <v>191</v>
      </c>
      <c r="F9" s="156">
        <f>'[1]Jan 08'!C47</f>
        <v>262</v>
      </c>
      <c r="G9" s="143">
        <f>'[1]Feb 08'!C47</f>
        <v>287</v>
      </c>
      <c r="H9" s="143">
        <f>'[1]Mar 08'!C47</f>
        <v>312</v>
      </c>
      <c r="I9" s="143">
        <v>349</v>
      </c>
      <c r="J9" s="143">
        <f>'[1]May 08'!C47</f>
        <v>364</v>
      </c>
      <c r="K9" s="143">
        <f>'[1]Jun 08'!C47</f>
        <v>338</v>
      </c>
      <c r="L9" s="143">
        <f>'[1]Jul 08'!C47</f>
        <v>327</v>
      </c>
      <c r="M9" s="143">
        <f>'[1]Aug 08'!C47</f>
        <v>300</v>
      </c>
      <c r="N9" s="143">
        <v>297</v>
      </c>
      <c r="O9" s="143">
        <v>247</v>
      </c>
      <c r="P9" s="143">
        <v>259</v>
      </c>
      <c r="Q9" s="143">
        <v>212</v>
      </c>
      <c r="R9" s="143">
        <v>255</v>
      </c>
      <c r="S9" s="143">
        <v>287</v>
      </c>
      <c r="T9" s="143">
        <v>391</v>
      </c>
      <c r="U9" s="143">
        <v>487</v>
      </c>
      <c r="V9" s="143">
        <v>562</v>
      </c>
      <c r="W9" s="143">
        <v>574</v>
      </c>
      <c r="X9" s="143">
        <v>501</v>
      </c>
      <c r="Y9" s="143">
        <v>520</v>
      </c>
      <c r="Z9" s="143">
        <v>523</v>
      </c>
      <c r="AA9" s="143">
        <v>514</v>
      </c>
      <c r="AB9" s="143">
        <v>483</v>
      </c>
      <c r="AC9" s="143">
        <v>438</v>
      </c>
      <c r="AD9" s="143">
        <v>471</v>
      </c>
      <c r="AE9" s="143">
        <v>588</v>
      </c>
      <c r="AF9" s="143">
        <v>600</v>
      </c>
      <c r="AG9" s="143">
        <v>661</v>
      </c>
      <c r="AH9" s="143">
        <v>623</v>
      </c>
      <c r="AI9" s="143">
        <v>542</v>
      </c>
      <c r="AJ9" s="143">
        <v>465</v>
      </c>
      <c r="AK9" s="143">
        <v>441</v>
      </c>
      <c r="AL9" s="143">
        <v>448</v>
      </c>
      <c r="AM9" s="143">
        <v>482</v>
      </c>
      <c r="AN9" s="143">
        <v>477</v>
      </c>
      <c r="AO9" s="143">
        <v>430</v>
      </c>
      <c r="AP9" s="143">
        <v>485</v>
      </c>
      <c r="AQ9" s="143">
        <v>530</v>
      </c>
      <c r="AR9" s="143">
        <v>606</v>
      </c>
      <c r="AS9" s="143">
        <v>616</v>
      </c>
      <c r="AT9" s="143">
        <v>665</v>
      </c>
      <c r="AU9" s="143">
        <v>558</v>
      </c>
      <c r="AV9" s="143">
        <v>532</v>
      </c>
      <c r="AW9" s="143">
        <v>504</v>
      </c>
      <c r="AX9" s="143">
        <v>472</v>
      </c>
      <c r="AY9" s="143">
        <v>415</v>
      </c>
      <c r="AZ9" s="143">
        <v>449</v>
      </c>
      <c r="BA9" s="143">
        <v>393</v>
      </c>
      <c r="BB9" s="143">
        <v>462</v>
      </c>
      <c r="BC9" s="143">
        <v>551</v>
      </c>
      <c r="BD9" s="143">
        <v>557</v>
      </c>
      <c r="BE9" s="143">
        <v>617</v>
      </c>
      <c r="BF9" s="143">
        <v>527</v>
      </c>
      <c r="BG9" s="143">
        <v>506</v>
      </c>
      <c r="BH9" s="143">
        <v>473</v>
      </c>
      <c r="BI9" s="143">
        <v>440</v>
      </c>
      <c r="BJ9" s="143">
        <v>417</v>
      </c>
      <c r="BK9" s="143">
        <v>432</v>
      </c>
      <c r="BL9" s="143">
        <v>432</v>
      </c>
      <c r="BM9" s="143">
        <v>342</v>
      </c>
      <c r="BN9" s="143">
        <v>417</v>
      </c>
      <c r="BO9" s="143">
        <v>490</v>
      </c>
      <c r="BP9" s="143">
        <v>482</v>
      </c>
      <c r="BQ9" s="143">
        <v>523</v>
      </c>
      <c r="BR9" s="143">
        <v>484</v>
      </c>
      <c r="BS9" s="143">
        <v>453</v>
      </c>
      <c r="BT9" s="143">
        <v>355</v>
      </c>
      <c r="BU9" s="143">
        <v>333</v>
      </c>
      <c r="BV9" s="143">
        <v>300</v>
      </c>
      <c r="BW9" s="143">
        <v>298</v>
      </c>
      <c r="BX9" s="143">
        <v>290</v>
      </c>
      <c r="BY9" s="143">
        <v>236</v>
      </c>
      <c r="BZ9" s="143">
        <v>298</v>
      </c>
      <c r="CA9" s="143">
        <v>335</v>
      </c>
      <c r="CB9" s="143">
        <v>374</v>
      </c>
      <c r="CC9" s="143">
        <v>371</v>
      </c>
      <c r="CD9" s="143">
        <v>368</v>
      </c>
      <c r="CE9" s="143">
        <v>357</v>
      </c>
      <c r="CF9" s="143">
        <v>305</v>
      </c>
      <c r="CG9" s="143">
        <v>273</v>
      </c>
      <c r="CH9" s="143">
        <v>254</v>
      </c>
      <c r="CI9" s="143">
        <v>231</v>
      </c>
      <c r="CJ9" s="143">
        <v>282</v>
      </c>
      <c r="CK9" s="143">
        <v>210</v>
      </c>
      <c r="CL9" s="143">
        <v>247</v>
      </c>
      <c r="CM9" s="143">
        <v>320</v>
      </c>
      <c r="CN9" s="143">
        <v>394</v>
      </c>
      <c r="CO9" s="143">
        <v>372</v>
      </c>
      <c r="CP9" s="143">
        <v>350</v>
      </c>
      <c r="CQ9" s="143">
        <v>364</v>
      </c>
      <c r="CR9" s="143">
        <v>299</v>
      </c>
      <c r="CS9" s="143">
        <v>301</v>
      </c>
      <c r="CT9" s="143">
        <v>277</v>
      </c>
      <c r="CU9" s="143">
        <v>259</v>
      </c>
      <c r="CV9" s="143">
        <v>283</v>
      </c>
      <c r="CW9" s="143">
        <v>213</v>
      </c>
      <c r="CX9" s="143">
        <v>264</v>
      </c>
      <c r="CY9" s="143">
        <v>335</v>
      </c>
      <c r="CZ9" s="143">
        <v>366</v>
      </c>
      <c r="DA9" s="143">
        <v>372</v>
      </c>
      <c r="DB9" s="143">
        <v>380</v>
      </c>
      <c r="DC9" s="143">
        <v>309</v>
      </c>
      <c r="DD9" s="143">
        <v>317</v>
      </c>
      <c r="DE9" s="143">
        <v>288</v>
      </c>
      <c r="DF9" s="143">
        <v>273</v>
      </c>
      <c r="DG9" s="143">
        <v>268</v>
      </c>
      <c r="DH9" s="143">
        <v>250</v>
      </c>
      <c r="DI9" s="143">
        <v>224</v>
      </c>
      <c r="DJ9" s="143">
        <v>265</v>
      </c>
      <c r="DK9" s="143">
        <v>258</v>
      </c>
      <c r="DL9" s="143">
        <v>361</v>
      </c>
      <c r="DM9" s="143">
        <v>364</v>
      </c>
      <c r="DN9" s="143">
        <v>365</v>
      </c>
      <c r="DO9" s="143">
        <v>300</v>
      </c>
      <c r="DP9" s="143">
        <v>271</v>
      </c>
      <c r="DQ9" s="143">
        <v>256</v>
      </c>
      <c r="DR9" s="143">
        <v>248</v>
      </c>
      <c r="DS9" s="143">
        <v>262</v>
      </c>
      <c r="DT9" s="143">
        <v>275</v>
      </c>
      <c r="DU9" s="143">
        <v>235</v>
      </c>
      <c r="DV9" s="143">
        <v>293</v>
      </c>
      <c r="DW9" s="143">
        <v>353</v>
      </c>
      <c r="DX9" s="143">
        <v>356</v>
      </c>
      <c r="DY9" s="143">
        <v>340</v>
      </c>
      <c r="DZ9" s="143">
        <v>331</v>
      </c>
      <c r="EA9" s="143">
        <v>283</v>
      </c>
      <c r="EB9" s="143">
        <v>286</v>
      </c>
      <c r="EC9" s="143">
        <v>250</v>
      </c>
      <c r="ED9" s="143">
        <v>255</v>
      </c>
      <c r="EE9" s="143">
        <v>208</v>
      </c>
      <c r="EF9" s="143">
        <v>229</v>
      </c>
      <c r="EG9" s="143">
        <v>192</v>
      </c>
      <c r="EH9" s="143">
        <v>240</v>
      </c>
      <c r="EI9" s="143">
        <v>288</v>
      </c>
      <c r="EJ9" s="143">
        <v>332</v>
      </c>
      <c r="EK9" s="143">
        <v>366</v>
      </c>
      <c r="EL9" s="143">
        <v>340</v>
      </c>
      <c r="EM9" s="143">
        <v>299</v>
      </c>
      <c r="EN9" s="143">
        <v>271</v>
      </c>
      <c r="EO9" s="143">
        <v>271</v>
      </c>
      <c r="EP9" s="143">
        <v>263</v>
      </c>
      <c r="EQ9" s="143">
        <v>269</v>
      </c>
      <c r="ER9" s="143">
        <v>307</v>
      </c>
      <c r="ES9" s="143">
        <v>218</v>
      </c>
      <c r="ET9" s="143">
        <v>277</v>
      </c>
      <c r="EU9" s="143">
        <v>342</v>
      </c>
      <c r="EV9" s="143">
        <v>255</v>
      </c>
      <c r="EW9" s="143">
        <v>219</v>
      </c>
      <c r="EX9" s="143">
        <v>272</v>
      </c>
      <c r="EY9" s="143">
        <v>339</v>
      </c>
      <c r="EZ9" s="143">
        <v>333</v>
      </c>
      <c r="FA9" s="143">
        <v>356</v>
      </c>
      <c r="FB9" s="143">
        <v>342</v>
      </c>
      <c r="FC9" s="143">
        <v>382</v>
      </c>
      <c r="FD9" s="143">
        <v>399</v>
      </c>
      <c r="FE9" s="143">
        <v>315</v>
      </c>
      <c r="FF9" s="143">
        <v>391</v>
      </c>
      <c r="FG9" s="143">
        <v>425</v>
      </c>
      <c r="FH9" s="143">
        <v>426</v>
      </c>
      <c r="FI9" s="143">
        <v>418</v>
      </c>
      <c r="FJ9" s="143">
        <v>412</v>
      </c>
      <c r="FK9" s="143">
        <v>371</v>
      </c>
      <c r="FL9" s="143">
        <v>303</v>
      </c>
      <c r="FM9" s="143">
        <v>347</v>
      </c>
      <c r="FN9" s="143">
        <v>333</v>
      </c>
      <c r="FO9" s="143">
        <v>331</v>
      </c>
      <c r="FP9" s="143">
        <v>335</v>
      </c>
      <c r="FQ9" s="143">
        <v>280</v>
      </c>
      <c r="FR9" s="143">
        <v>341</v>
      </c>
      <c r="FS9" s="143">
        <v>371</v>
      </c>
      <c r="FT9" s="143">
        <v>384</v>
      </c>
      <c r="FU9" s="143">
        <v>379</v>
      </c>
      <c r="FV9" s="143">
        <v>310</v>
      </c>
      <c r="FW9" s="143">
        <v>250</v>
      </c>
      <c r="FX9" s="143">
        <v>252</v>
      </c>
      <c r="FY9" s="143">
        <v>245</v>
      </c>
      <c r="FZ9" s="143">
        <v>248</v>
      </c>
      <c r="GA9" s="143">
        <v>237</v>
      </c>
      <c r="GB9" s="143">
        <v>208</v>
      </c>
      <c r="GC9" s="143">
        <v>178</v>
      </c>
      <c r="GD9" s="143">
        <v>210</v>
      </c>
      <c r="GE9" s="143">
        <v>277</v>
      </c>
      <c r="GF9" s="143">
        <v>262</v>
      </c>
      <c r="GG9" s="143">
        <v>303</v>
      </c>
      <c r="GH9" s="143">
        <v>284</v>
      </c>
      <c r="GI9" s="143">
        <v>230</v>
      </c>
      <c r="GJ9" s="143">
        <v>222</v>
      </c>
      <c r="GK9" s="143">
        <v>186</v>
      </c>
      <c r="GL9" s="143">
        <v>195</v>
      </c>
      <c r="GM9" s="143">
        <v>174</v>
      </c>
      <c r="GN9" s="143">
        <v>179</v>
      </c>
      <c r="GO9" s="143">
        <v>146</v>
      </c>
      <c r="GP9" s="143">
        <v>214</v>
      </c>
      <c r="GQ9" s="143">
        <v>236</v>
      </c>
      <c r="GR9" s="143">
        <v>261</v>
      </c>
      <c r="GS9" s="143">
        <f>SUM(B9:GR9)/198</f>
        <v>348.75757575757575</v>
      </c>
      <c r="GT9" s="152"/>
      <c r="GU9" s="12" t="s">
        <v>32</v>
      </c>
      <c r="GV9" s="145" t="s">
        <v>30</v>
      </c>
      <c r="GW9" s="145">
        <f t="shared" ref="GW9:HF11" si="13">(C9-B9)/B9</f>
        <v>-0.40239043824701193</v>
      </c>
      <c r="GX9" s="145">
        <f t="shared" si="13"/>
        <v>0.56666666666666665</v>
      </c>
      <c r="GY9" s="145">
        <f t="shared" si="13"/>
        <v>-0.18723404255319148</v>
      </c>
      <c r="GZ9" s="145">
        <f t="shared" si="13"/>
        <v>0.37172774869109948</v>
      </c>
      <c r="HA9" s="145">
        <f t="shared" si="13"/>
        <v>9.5419847328244281E-2</v>
      </c>
      <c r="HB9" s="145">
        <f t="shared" si="13"/>
        <v>8.7108013937282236E-2</v>
      </c>
      <c r="HC9" s="145">
        <f t="shared" si="13"/>
        <v>0.11858974358974358</v>
      </c>
      <c r="HD9" s="145">
        <f t="shared" si="13"/>
        <v>4.2979942693409739E-2</v>
      </c>
      <c r="HE9" s="145">
        <f t="shared" si="13"/>
        <v>-7.1428571428571425E-2</v>
      </c>
      <c r="HF9" s="145">
        <f t="shared" si="13"/>
        <v>-3.2544378698224852E-2</v>
      </c>
      <c r="HG9" s="145">
        <f t="shared" ref="HG9:HP11" si="14">(M9-L9)/L9</f>
        <v>-8.2568807339449546E-2</v>
      </c>
      <c r="HH9" s="145">
        <f t="shared" si="14"/>
        <v>-0.01</v>
      </c>
      <c r="HI9" s="145">
        <f t="shared" si="14"/>
        <v>-0.16835016835016836</v>
      </c>
      <c r="HJ9" s="145">
        <f t="shared" si="14"/>
        <v>4.8582995951417005E-2</v>
      </c>
      <c r="HK9" s="145">
        <f t="shared" si="14"/>
        <v>-0.18146718146718147</v>
      </c>
      <c r="HL9" s="145">
        <f t="shared" si="14"/>
        <v>0.20283018867924529</v>
      </c>
      <c r="HM9" s="145">
        <f t="shared" si="14"/>
        <v>0.12549019607843137</v>
      </c>
      <c r="HN9" s="145">
        <f t="shared" si="14"/>
        <v>0.3623693379790941</v>
      </c>
      <c r="HO9" s="145">
        <f t="shared" si="14"/>
        <v>0.24552429667519182</v>
      </c>
      <c r="HP9" s="145">
        <f t="shared" si="14"/>
        <v>0.1540041067761807</v>
      </c>
      <c r="HQ9" s="145">
        <f t="shared" ref="HQ9:HZ11" si="15">(W9-V9)/V9</f>
        <v>2.1352313167259787E-2</v>
      </c>
      <c r="HR9" s="145">
        <f t="shared" si="15"/>
        <v>-0.12717770034843207</v>
      </c>
      <c r="HS9" s="145">
        <f t="shared" si="15"/>
        <v>3.7924151696606789E-2</v>
      </c>
      <c r="HT9" s="145">
        <f t="shared" si="15"/>
        <v>5.7692307692307696E-3</v>
      </c>
      <c r="HU9" s="145">
        <f t="shared" si="15"/>
        <v>-1.7208413001912046E-2</v>
      </c>
      <c r="HV9" s="145">
        <f t="shared" si="15"/>
        <v>-6.0311284046692608E-2</v>
      </c>
      <c r="HW9" s="145">
        <f t="shared" si="15"/>
        <v>-9.3167701863354033E-2</v>
      </c>
      <c r="HX9" s="145">
        <f t="shared" si="15"/>
        <v>7.5342465753424653E-2</v>
      </c>
      <c r="HY9" s="145">
        <f t="shared" si="15"/>
        <v>0.24840764331210191</v>
      </c>
      <c r="HZ9" s="145">
        <f t="shared" si="15"/>
        <v>2.0408163265306121E-2</v>
      </c>
      <c r="IA9" s="145">
        <f t="shared" ref="IA9:IJ11" si="16">(AG9-AF9)/AF9</f>
        <v>0.10166666666666667</v>
      </c>
      <c r="IB9" s="145">
        <f t="shared" si="16"/>
        <v>-5.7488653555219364E-2</v>
      </c>
      <c r="IC9" s="145">
        <f t="shared" si="16"/>
        <v>-0.13001605136436598</v>
      </c>
      <c r="ID9" s="145">
        <f t="shared" si="16"/>
        <v>-0.14206642066420663</v>
      </c>
      <c r="IE9" s="145">
        <f t="shared" si="16"/>
        <v>-5.1612903225806452E-2</v>
      </c>
      <c r="IF9" s="145">
        <f t="shared" si="16"/>
        <v>1.5873015873015872E-2</v>
      </c>
      <c r="IG9" s="145">
        <f t="shared" si="16"/>
        <v>7.5892857142857137E-2</v>
      </c>
      <c r="IH9" s="145">
        <f t="shared" si="16"/>
        <v>-1.0373443983402489E-2</v>
      </c>
      <c r="II9" s="145">
        <f t="shared" si="16"/>
        <v>-9.853249475890985E-2</v>
      </c>
      <c r="IJ9" s="145">
        <f t="shared" si="16"/>
        <v>0.12790697674418605</v>
      </c>
      <c r="IK9" s="145">
        <f t="shared" ref="IK9:IT11" si="17">(AQ9-AP9)/AP9</f>
        <v>9.2783505154639179E-2</v>
      </c>
      <c r="IL9" s="145">
        <f t="shared" si="17"/>
        <v>0.14339622641509434</v>
      </c>
      <c r="IM9" s="145">
        <f t="shared" si="17"/>
        <v>1.65016501650165E-2</v>
      </c>
      <c r="IN9" s="145">
        <f t="shared" si="17"/>
        <v>7.9545454545454544E-2</v>
      </c>
      <c r="IO9" s="145">
        <f t="shared" si="17"/>
        <v>-0.16090225563909774</v>
      </c>
      <c r="IP9" s="145">
        <f t="shared" si="17"/>
        <v>-4.6594982078853049E-2</v>
      </c>
      <c r="IQ9" s="145">
        <f t="shared" si="17"/>
        <v>-5.2631578947368418E-2</v>
      </c>
      <c r="IR9" s="145">
        <f t="shared" si="17"/>
        <v>-6.3492063492063489E-2</v>
      </c>
      <c r="IS9" s="145">
        <f t="shared" si="17"/>
        <v>-0.12076271186440678</v>
      </c>
      <c r="IT9" s="145">
        <f t="shared" si="17"/>
        <v>8.1927710843373497E-2</v>
      </c>
      <c r="IU9" s="145">
        <f t="shared" ref="IU9:JD11" si="18">(BA9-AZ9)/AZ9</f>
        <v>-0.12472160356347439</v>
      </c>
      <c r="IV9" s="145">
        <f t="shared" si="18"/>
        <v>0.17557251908396945</v>
      </c>
      <c r="IW9" s="145">
        <f t="shared" si="18"/>
        <v>0.19264069264069264</v>
      </c>
      <c r="IX9" s="145">
        <f t="shared" si="18"/>
        <v>1.0889292196007259E-2</v>
      </c>
      <c r="IY9" s="145">
        <f t="shared" si="18"/>
        <v>0.10771992818671454</v>
      </c>
      <c r="IZ9" s="145">
        <f t="shared" si="18"/>
        <v>-0.14586709886547811</v>
      </c>
      <c r="JA9" s="145">
        <f t="shared" si="18"/>
        <v>-3.9848197343453511E-2</v>
      </c>
      <c r="JB9" s="145">
        <f t="shared" si="18"/>
        <v>-6.5217391304347824E-2</v>
      </c>
      <c r="JC9" s="145">
        <f t="shared" si="18"/>
        <v>-6.9767441860465115E-2</v>
      </c>
      <c r="JD9" s="145">
        <f t="shared" si="18"/>
        <v>-5.2272727272727269E-2</v>
      </c>
      <c r="JE9" s="145">
        <f t="shared" ref="JE9:JN11" si="19">(BK9-BJ9)/BJ9</f>
        <v>3.5971223021582732E-2</v>
      </c>
      <c r="JF9" s="145">
        <f t="shared" si="19"/>
        <v>0</v>
      </c>
      <c r="JG9" s="145">
        <f t="shared" si="19"/>
        <v>-0.20833333333333334</v>
      </c>
      <c r="JH9" s="145">
        <f t="shared" si="19"/>
        <v>0.21929824561403508</v>
      </c>
      <c r="JI9" s="145">
        <f t="shared" si="19"/>
        <v>0.1750599520383693</v>
      </c>
      <c r="JJ9" s="145">
        <f t="shared" si="19"/>
        <v>-1.6326530612244899E-2</v>
      </c>
      <c r="JK9" s="145">
        <f t="shared" si="19"/>
        <v>8.5062240663900418E-2</v>
      </c>
      <c r="JL9" s="145">
        <f t="shared" si="19"/>
        <v>-7.4569789674952203E-2</v>
      </c>
      <c r="JM9" s="145">
        <f t="shared" si="19"/>
        <v>-6.4049586776859499E-2</v>
      </c>
      <c r="JN9" s="145">
        <f t="shared" si="19"/>
        <v>-0.21633554083885209</v>
      </c>
      <c r="JO9" s="145">
        <f t="shared" ref="JO9:JX11" si="20">(BU9-BT9)/BT9</f>
        <v>-6.1971830985915494E-2</v>
      </c>
      <c r="JP9" s="145">
        <f t="shared" si="20"/>
        <v>-9.90990990990991E-2</v>
      </c>
      <c r="JQ9" s="145">
        <f t="shared" si="20"/>
        <v>-6.6666666666666671E-3</v>
      </c>
      <c r="JR9" s="145">
        <f t="shared" si="20"/>
        <v>-2.6845637583892617E-2</v>
      </c>
      <c r="JS9" s="145">
        <f t="shared" si="20"/>
        <v>-0.18620689655172415</v>
      </c>
      <c r="JT9" s="145">
        <f t="shared" si="20"/>
        <v>0.26271186440677968</v>
      </c>
      <c r="JU9" s="145">
        <f t="shared" si="20"/>
        <v>0.12416107382550336</v>
      </c>
      <c r="JV9" s="145">
        <f t="shared" si="20"/>
        <v>0.11641791044776119</v>
      </c>
      <c r="JW9" s="145">
        <f t="shared" si="20"/>
        <v>-8.0213903743315516E-3</v>
      </c>
      <c r="JX9" s="145">
        <f t="shared" si="20"/>
        <v>-8.0862533692722376E-3</v>
      </c>
      <c r="JY9" s="145">
        <f t="shared" ref="JY9:KH11" si="21">(CE9-CD9)/CD9</f>
        <v>-2.9891304347826088E-2</v>
      </c>
      <c r="JZ9" s="145">
        <f t="shared" si="21"/>
        <v>-0.14565826330532214</v>
      </c>
      <c r="KA9" s="145">
        <f t="shared" si="21"/>
        <v>-0.10491803278688525</v>
      </c>
      <c r="KB9" s="145">
        <f t="shared" si="21"/>
        <v>-6.95970695970696E-2</v>
      </c>
      <c r="KC9" s="145">
        <f t="shared" si="21"/>
        <v>-9.055118110236221E-2</v>
      </c>
      <c r="KD9" s="145">
        <f t="shared" si="21"/>
        <v>0.22077922077922077</v>
      </c>
      <c r="KE9" s="145">
        <f t="shared" si="21"/>
        <v>-0.25531914893617019</v>
      </c>
      <c r="KF9" s="145">
        <f t="shared" si="21"/>
        <v>0.1761904761904762</v>
      </c>
      <c r="KG9" s="145">
        <f t="shared" si="21"/>
        <v>0.29554655870445345</v>
      </c>
      <c r="KH9" s="145">
        <f t="shared" si="21"/>
        <v>0.23125000000000001</v>
      </c>
      <c r="KI9" s="145">
        <f t="shared" ref="KI9:KR11" si="22">(CO9-CN9)/CN9</f>
        <v>-5.5837563451776651E-2</v>
      </c>
      <c r="KJ9" s="145">
        <f t="shared" si="22"/>
        <v>-5.9139784946236562E-2</v>
      </c>
      <c r="KK9" s="145">
        <f t="shared" si="22"/>
        <v>0.04</v>
      </c>
      <c r="KL9" s="145">
        <f t="shared" si="22"/>
        <v>-0.17857142857142858</v>
      </c>
      <c r="KM9" s="145">
        <f t="shared" si="22"/>
        <v>6.688963210702341E-3</v>
      </c>
      <c r="KN9" s="145">
        <f t="shared" si="22"/>
        <v>-7.9734219269102985E-2</v>
      </c>
      <c r="KO9" s="145">
        <f t="shared" si="22"/>
        <v>-6.4981949458483748E-2</v>
      </c>
      <c r="KP9" s="145">
        <f t="shared" si="22"/>
        <v>9.2664092664092659E-2</v>
      </c>
      <c r="KQ9" s="145">
        <f t="shared" si="22"/>
        <v>-0.24734982332155478</v>
      </c>
      <c r="KR9" s="145">
        <f t="shared" si="22"/>
        <v>0.23943661971830985</v>
      </c>
      <c r="KS9" s="145">
        <f t="shared" ref="KS9:LB11" si="23">(CY9-CX9)/CX9</f>
        <v>0.26893939393939392</v>
      </c>
      <c r="KT9" s="145">
        <f t="shared" si="23"/>
        <v>9.2537313432835819E-2</v>
      </c>
      <c r="KU9" s="145">
        <f t="shared" si="23"/>
        <v>1.6393442622950821E-2</v>
      </c>
      <c r="KV9" s="145">
        <f t="shared" si="23"/>
        <v>2.1505376344086023E-2</v>
      </c>
      <c r="KW9" s="145">
        <f t="shared" si="23"/>
        <v>-0.18684210526315789</v>
      </c>
      <c r="KX9" s="145">
        <f t="shared" si="23"/>
        <v>2.5889967637540454E-2</v>
      </c>
      <c r="KY9" s="145">
        <f t="shared" si="23"/>
        <v>-9.1482649842271294E-2</v>
      </c>
      <c r="KZ9" s="145">
        <f t="shared" si="23"/>
        <v>-5.2083333333333336E-2</v>
      </c>
      <c r="LA9" s="145">
        <f t="shared" si="23"/>
        <v>-1.8315018315018316E-2</v>
      </c>
      <c r="LB9" s="145">
        <f t="shared" si="23"/>
        <v>-6.7164179104477612E-2</v>
      </c>
      <c r="LC9" s="145">
        <f t="shared" ref="LC9:LD11" si="24">(DI9-DH9)/DH9</f>
        <v>-0.104</v>
      </c>
      <c r="LD9" s="145">
        <f t="shared" si="24"/>
        <v>0.18303571428571427</v>
      </c>
      <c r="LE9" s="145">
        <f t="shared" si="9"/>
        <v>-2.6415094339622643E-2</v>
      </c>
      <c r="LF9" s="145">
        <f t="shared" si="9"/>
        <v>0.39922480620155038</v>
      </c>
      <c r="LG9" s="145">
        <f t="shared" si="9"/>
        <v>8.3102493074792248E-3</v>
      </c>
      <c r="LH9" s="145">
        <f t="shared" si="9"/>
        <v>2.7472527472527475E-3</v>
      </c>
      <c r="LI9" s="145">
        <f t="shared" si="9"/>
        <v>-0.17808219178082191</v>
      </c>
      <c r="LJ9" s="145">
        <f t="shared" si="9"/>
        <v>-9.6666666666666665E-2</v>
      </c>
      <c r="LK9" s="145">
        <f t="shared" si="9"/>
        <v>-5.5350553505535055E-2</v>
      </c>
      <c r="LL9" s="145">
        <f t="shared" si="9"/>
        <v>-3.125E-2</v>
      </c>
      <c r="LM9" s="145">
        <f t="shared" si="9"/>
        <v>5.6451612903225805E-2</v>
      </c>
      <c r="LN9" s="145">
        <f t="shared" si="9"/>
        <v>4.9618320610687022E-2</v>
      </c>
      <c r="LO9" s="145">
        <f t="shared" si="10"/>
        <v>-0.14545454545454545</v>
      </c>
      <c r="LP9" s="145">
        <f t="shared" si="10"/>
        <v>0.24680851063829787</v>
      </c>
      <c r="LQ9" s="145">
        <f t="shared" si="10"/>
        <v>0.20477815699658702</v>
      </c>
      <c r="LR9" s="145">
        <f t="shared" si="10"/>
        <v>8.4985835694051E-3</v>
      </c>
      <c r="LS9" s="145">
        <f t="shared" si="10"/>
        <v>-4.49438202247191E-2</v>
      </c>
      <c r="LT9" s="145">
        <f t="shared" si="10"/>
        <v>-2.6470588235294117E-2</v>
      </c>
      <c r="LU9" s="145">
        <f t="shared" si="10"/>
        <v>-0.14501510574018128</v>
      </c>
      <c r="LV9" s="145">
        <f t="shared" si="10"/>
        <v>1.0600706713780919E-2</v>
      </c>
      <c r="LW9" s="145">
        <f t="shared" si="10"/>
        <v>-0.12587412587412589</v>
      </c>
      <c r="LX9" s="145">
        <f t="shared" si="10"/>
        <v>0.02</v>
      </c>
      <c r="LY9" s="145">
        <f t="shared" si="11"/>
        <v>-0.18431372549019609</v>
      </c>
      <c r="LZ9" s="145">
        <f t="shared" si="11"/>
        <v>0.10096153846153846</v>
      </c>
      <c r="MA9" s="145">
        <f t="shared" si="11"/>
        <v>-0.16157205240174671</v>
      </c>
      <c r="MB9" s="145">
        <f t="shared" si="11"/>
        <v>0.25</v>
      </c>
      <c r="MC9" s="145">
        <f t="shared" si="11"/>
        <v>0.2</v>
      </c>
      <c r="MD9" s="145">
        <f t="shared" si="11"/>
        <v>0.15277777777777779</v>
      </c>
      <c r="ME9" s="145">
        <f t="shared" si="11"/>
        <v>0.10240963855421686</v>
      </c>
      <c r="MF9" s="145">
        <f t="shared" si="11"/>
        <v>-7.1038251366120214E-2</v>
      </c>
      <c r="MG9" s="145">
        <f t="shared" si="11"/>
        <v>-0.12058823529411765</v>
      </c>
      <c r="MH9" s="145">
        <f t="shared" si="11"/>
        <v>-9.3645484949832769E-2</v>
      </c>
      <c r="MI9" s="145">
        <f t="shared" si="12"/>
        <v>0</v>
      </c>
      <c r="MJ9" s="145">
        <f t="shared" si="12"/>
        <v>-2.9520295202952029E-2</v>
      </c>
      <c r="MK9" s="145">
        <f t="shared" si="12"/>
        <v>2.2813688212927757E-2</v>
      </c>
      <c r="ML9" s="145">
        <f t="shared" si="12"/>
        <v>0.14126394052044611</v>
      </c>
      <c r="MM9" s="145">
        <f t="shared" si="12"/>
        <v>-0.28990228013029318</v>
      </c>
      <c r="MN9" s="145">
        <f t="shared" si="12"/>
        <v>0.27064220183486237</v>
      </c>
      <c r="MO9" s="145">
        <f t="shared" si="12"/>
        <v>0.23465703971119134</v>
      </c>
      <c r="MP9" s="145">
        <f t="shared" si="12"/>
        <v>-0.25438596491228072</v>
      </c>
      <c r="MQ9" s="145">
        <f t="shared" si="12"/>
        <v>-0.14117647058823529</v>
      </c>
      <c r="MR9" s="145">
        <f t="shared" si="12"/>
        <v>0.24200913242009131</v>
      </c>
      <c r="MS9" s="145">
        <f>(EZ9-EY9)/EY9</f>
        <v>-1.7699115044247787E-2</v>
      </c>
      <c r="MT9" s="145">
        <f t="shared" si="5"/>
        <v>-1.8018018018018018E-2</v>
      </c>
      <c r="MU9" s="145">
        <f t="shared" si="5"/>
        <v>6.4606741573033713E-2</v>
      </c>
      <c r="MV9" s="145">
        <f t="shared" si="5"/>
        <v>-4.0935672514619881E-2</v>
      </c>
      <c r="MW9" s="145">
        <f t="shared" si="5"/>
        <v>0.10471204188481675</v>
      </c>
      <c r="MX9" s="145">
        <f t="shared" si="5"/>
        <v>4.2606516290726815E-2</v>
      </c>
      <c r="MY9" s="145">
        <f t="shared" si="5"/>
        <v>-0.26666666666666666</v>
      </c>
      <c r="MZ9" s="145">
        <f t="shared" si="5"/>
        <v>0.19437340153452684</v>
      </c>
      <c r="NA9" s="145">
        <f t="shared" si="5"/>
        <v>0.08</v>
      </c>
      <c r="NB9" s="145">
        <f t="shared" si="5"/>
        <v>2.3474178403755869E-3</v>
      </c>
      <c r="NC9" s="145">
        <f t="shared" si="5"/>
        <v>-1.9138755980861243E-2</v>
      </c>
      <c r="ND9" s="145">
        <f t="shared" si="6"/>
        <v>-1.4563106796116505E-2</v>
      </c>
      <c r="NE9" s="145">
        <f t="shared" si="6"/>
        <v>-0.11051212938005391</v>
      </c>
      <c r="NF9" s="145">
        <f t="shared" si="6"/>
        <v>-0.22442244224422442</v>
      </c>
      <c r="NG9" s="145">
        <f t="shared" si="6"/>
        <v>0.12680115273775217</v>
      </c>
      <c r="NH9" s="145">
        <f t="shared" si="6"/>
        <v>-4.2042042042042045E-2</v>
      </c>
      <c r="NI9" s="145">
        <f t="shared" si="6"/>
        <v>-6.0422960725075529E-3</v>
      </c>
      <c r="NJ9" s="145">
        <f t="shared" si="6"/>
        <v>1.1940298507462687E-2</v>
      </c>
      <c r="NK9" s="145">
        <f t="shared" si="6"/>
        <v>-0.19642857142857142</v>
      </c>
      <c r="NL9" s="145">
        <f t="shared" si="6"/>
        <v>0.17888563049853373</v>
      </c>
      <c r="NM9" s="145">
        <f t="shared" si="6"/>
        <v>8.0862533692722366E-2</v>
      </c>
      <c r="NN9" s="145">
        <f t="shared" si="7"/>
        <v>3.3854166666666664E-2</v>
      </c>
      <c r="NO9" s="145">
        <f t="shared" si="7"/>
        <v>-1.3192612137203167E-2</v>
      </c>
      <c r="NP9" s="145">
        <f t="shared" si="7"/>
        <v>-0.22258064516129034</v>
      </c>
      <c r="NQ9" s="145">
        <f t="shared" si="7"/>
        <v>-0.24</v>
      </c>
      <c r="NR9" s="145">
        <f t="shared" si="7"/>
        <v>7.9365079365079361E-3</v>
      </c>
      <c r="NS9" s="145">
        <f t="shared" si="7"/>
        <v>-2.8571428571428571E-2</v>
      </c>
      <c r="NT9" s="145">
        <f t="shared" si="7"/>
        <v>1.2096774193548387E-2</v>
      </c>
      <c r="NU9" s="145">
        <f t="shared" si="7"/>
        <v>-4.6413502109704644E-2</v>
      </c>
      <c r="NV9" s="145">
        <f t="shared" si="7"/>
        <v>-0.13942307692307693</v>
      </c>
      <c r="NW9" s="145">
        <f t="shared" si="7"/>
        <v>-0.16853932584269662</v>
      </c>
      <c r="NX9" s="145">
        <f t="shared" si="8"/>
        <v>0.15238095238095239</v>
      </c>
      <c r="NY9" s="145">
        <f t="shared" si="8"/>
        <v>0.24187725631768953</v>
      </c>
      <c r="NZ9" s="145">
        <f t="shared" si="8"/>
        <v>-5.7251908396946563E-2</v>
      </c>
      <c r="OA9" s="145">
        <f t="shared" si="8"/>
        <v>0.13531353135313531</v>
      </c>
      <c r="OB9" s="145">
        <f t="shared" si="8"/>
        <v>-6.6901408450704219E-2</v>
      </c>
      <c r="OC9" s="145">
        <f t="shared" si="8"/>
        <v>-0.23478260869565218</v>
      </c>
      <c r="OD9" s="145">
        <f t="shared" si="8"/>
        <v>-3.6036036036036036E-2</v>
      </c>
      <c r="OE9" s="145">
        <f t="shared" si="8"/>
        <v>-0.19354838709677419</v>
      </c>
      <c r="OF9" s="145">
        <f t="shared" si="8"/>
        <v>4.6153846153846156E-2</v>
      </c>
      <c r="OG9" s="145">
        <f t="shared" si="8"/>
        <v>-0.1206896551724138</v>
      </c>
      <c r="OH9" s="145">
        <f t="shared" si="8"/>
        <v>2.7932960893854747E-2</v>
      </c>
      <c r="OI9" s="145">
        <f t="shared" si="8"/>
        <v>-0.22602739726027396</v>
      </c>
      <c r="OJ9" s="145">
        <f t="shared" si="8"/>
        <v>0.31775700934579437</v>
      </c>
      <c r="OK9" s="145">
        <f t="shared" si="8"/>
        <v>9.3220338983050849E-2</v>
      </c>
      <c r="OL9" s="145">
        <f t="shared" si="8"/>
        <v>9.5785440613026823E-2</v>
      </c>
    </row>
    <row r="10" spans="1:402" s="145" customFormat="1" ht="19.5" customHeight="1" x14ac:dyDescent="0.35">
      <c r="A10" s="12" t="s">
        <v>33</v>
      </c>
      <c r="B10" s="156">
        <f>'[1]Sept 07'!C49</f>
        <v>177</v>
      </c>
      <c r="C10" s="156">
        <f>'[1]Oct 07'!C49</f>
        <v>236</v>
      </c>
      <c r="D10" s="156">
        <f>'[1]Nov 07'!C49</f>
        <v>168</v>
      </c>
      <c r="E10" s="156">
        <f>'[1]Dec 07'!C49</f>
        <v>190</v>
      </c>
      <c r="F10" s="156">
        <f>'[1]Jan 08'!C49</f>
        <v>187</v>
      </c>
      <c r="G10" s="143">
        <f>'[1]Feb 08'!C49</f>
        <v>227</v>
      </c>
      <c r="H10" s="143">
        <f>'[1]Mar 08'!C49</f>
        <v>246</v>
      </c>
      <c r="I10" s="143">
        <v>270</v>
      </c>
      <c r="J10" s="143">
        <f>'[1]May 08'!C49</f>
        <v>300</v>
      </c>
      <c r="K10" s="143">
        <f>'[1]Jun 08'!C49</f>
        <v>321</v>
      </c>
      <c r="L10" s="143">
        <f>'[1]Jul 08'!C49</f>
        <v>286</v>
      </c>
      <c r="M10" s="143">
        <f>'[1]Aug 08'!C49</f>
        <v>274</v>
      </c>
      <c r="N10" s="143">
        <v>235</v>
      </c>
      <c r="O10" s="143">
        <v>228</v>
      </c>
      <c r="P10" s="143">
        <v>177</v>
      </c>
      <c r="Q10" s="143">
        <v>228</v>
      </c>
      <c r="R10" s="143">
        <v>174</v>
      </c>
      <c r="S10" s="143">
        <v>199</v>
      </c>
      <c r="T10" s="143">
        <v>242</v>
      </c>
      <c r="U10" s="143">
        <v>301</v>
      </c>
      <c r="V10" s="143">
        <v>348</v>
      </c>
      <c r="W10" s="143">
        <v>429</v>
      </c>
      <c r="X10" s="143">
        <v>392</v>
      </c>
      <c r="Y10" s="143">
        <v>330</v>
      </c>
      <c r="Z10" s="143">
        <v>351</v>
      </c>
      <c r="AA10" s="143">
        <v>351</v>
      </c>
      <c r="AB10" s="143">
        <v>345</v>
      </c>
      <c r="AC10" s="143">
        <v>364</v>
      </c>
      <c r="AD10" s="143">
        <v>267</v>
      </c>
      <c r="AE10" s="143">
        <v>301</v>
      </c>
      <c r="AF10" s="143">
        <v>442</v>
      </c>
      <c r="AG10" s="143">
        <v>422</v>
      </c>
      <c r="AH10" s="143">
        <v>437</v>
      </c>
      <c r="AI10" s="143">
        <v>449</v>
      </c>
      <c r="AJ10" s="143">
        <v>367</v>
      </c>
      <c r="AK10" s="143">
        <v>332</v>
      </c>
      <c r="AL10" s="143">
        <v>287</v>
      </c>
      <c r="AM10" s="143">
        <v>324</v>
      </c>
      <c r="AN10" s="143">
        <v>330</v>
      </c>
      <c r="AO10" s="143">
        <v>400</v>
      </c>
      <c r="AP10" s="143">
        <v>324</v>
      </c>
      <c r="AQ10" s="143">
        <v>382</v>
      </c>
      <c r="AR10" s="143">
        <v>433</v>
      </c>
      <c r="AS10" s="143">
        <v>481</v>
      </c>
      <c r="AT10" s="143">
        <v>471</v>
      </c>
      <c r="AU10" s="143">
        <v>568</v>
      </c>
      <c r="AV10" s="143">
        <v>414</v>
      </c>
      <c r="AW10" s="143">
        <v>427</v>
      </c>
      <c r="AX10" s="143">
        <v>373</v>
      </c>
      <c r="AY10" s="143">
        <v>392</v>
      </c>
      <c r="AZ10" s="143">
        <v>325</v>
      </c>
      <c r="BA10" s="143">
        <v>395</v>
      </c>
      <c r="BB10" s="143">
        <v>320</v>
      </c>
      <c r="BC10" s="143">
        <v>380</v>
      </c>
      <c r="BD10" s="143">
        <v>492</v>
      </c>
      <c r="BE10" s="143">
        <v>511</v>
      </c>
      <c r="BF10" s="143">
        <v>564</v>
      </c>
      <c r="BG10" s="143">
        <v>493</v>
      </c>
      <c r="BH10" s="143">
        <v>409</v>
      </c>
      <c r="BI10" s="143">
        <v>436</v>
      </c>
      <c r="BJ10" s="143">
        <v>372</v>
      </c>
      <c r="BK10" s="143">
        <v>390</v>
      </c>
      <c r="BL10" s="143">
        <v>386</v>
      </c>
      <c r="BM10" s="143">
        <v>402</v>
      </c>
      <c r="BN10" s="143">
        <v>331</v>
      </c>
      <c r="BO10" s="143">
        <v>390</v>
      </c>
      <c r="BP10" s="143">
        <v>503</v>
      </c>
      <c r="BQ10" s="143">
        <v>531</v>
      </c>
      <c r="BR10" s="143">
        <v>543</v>
      </c>
      <c r="BS10" s="143">
        <v>525</v>
      </c>
      <c r="BT10" s="143">
        <v>503</v>
      </c>
      <c r="BU10" s="143">
        <v>387</v>
      </c>
      <c r="BV10" s="143">
        <v>347</v>
      </c>
      <c r="BW10" s="143">
        <v>326</v>
      </c>
      <c r="BX10" s="143">
        <v>320</v>
      </c>
      <c r="BY10" s="143">
        <v>332</v>
      </c>
      <c r="BZ10" s="143">
        <v>257</v>
      </c>
      <c r="CA10" s="143">
        <v>310</v>
      </c>
      <c r="CB10" s="143">
        <v>379</v>
      </c>
      <c r="CC10" s="143">
        <v>459</v>
      </c>
      <c r="CD10" s="143">
        <v>432</v>
      </c>
      <c r="CE10" s="143">
        <v>470</v>
      </c>
      <c r="CF10" s="143">
        <v>401</v>
      </c>
      <c r="CG10" s="143">
        <v>360</v>
      </c>
      <c r="CH10" s="143">
        <v>354</v>
      </c>
      <c r="CI10" s="143">
        <v>336</v>
      </c>
      <c r="CJ10" s="143">
        <v>260</v>
      </c>
      <c r="CK10" s="143">
        <v>373</v>
      </c>
      <c r="CL10" s="143">
        <v>295</v>
      </c>
      <c r="CM10" s="143">
        <v>317</v>
      </c>
      <c r="CN10" s="143">
        <v>458</v>
      </c>
      <c r="CO10" s="143">
        <v>488</v>
      </c>
      <c r="CP10" s="143">
        <v>459</v>
      </c>
      <c r="CQ10" s="143">
        <v>472</v>
      </c>
      <c r="CR10" s="143">
        <v>486</v>
      </c>
      <c r="CS10" s="143">
        <v>375</v>
      </c>
      <c r="CT10" s="143">
        <v>399</v>
      </c>
      <c r="CU10" s="143">
        <v>372</v>
      </c>
      <c r="CV10" s="143">
        <v>302</v>
      </c>
      <c r="CW10" s="143">
        <v>350</v>
      </c>
      <c r="CX10" s="143">
        <v>268</v>
      </c>
      <c r="CY10" s="143">
        <v>320</v>
      </c>
      <c r="CZ10" s="143">
        <v>470</v>
      </c>
      <c r="DA10" s="143">
        <v>504</v>
      </c>
      <c r="DB10" s="143">
        <v>485</v>
      </c>
      <c r="DC10" s="143">
        <v>506</v>
      </c>
      <c r="DD10" s="143">
        <v>378</v>
      </c>
      <c r="DE10" s="143">
        <v>446</v>
      </c>
      <c r="DF10" s="143">
        <v>403</v>
      </c>
      <c r="DG10" s="143">
        <v>389</v>
      </c>
      <c r="DH10" s="143">
        <v>371</v>
      </c>
      <c r="DI10" s="143">
        <v>397</v>
      </c>
      <c r="DJ10" s="143">
        <v>349</v>
      </c>
      <c r="DK10" s="143">
        <v>368</v>
      </c>
      <c r="DL10" s="143">
        <v>517</v>
      </c>
      <c r="DM10" s="143">
        <v>480</v>
      </c>
      <c r="DN10" s="143">
        <v>551</v>
      </c>
      <c r="DO10" s="143">
        <v>533</v>
      </c>
      <c r="DP10" s="143">
        <v>413</v>
      </c>
      <c r="DQ10" s="143">
        <v>436</v>
      </c>
      <c r="DR10" s="143">
        <v>373</v>
      </c>
      <c r="DS10" s="143">
        <v>399</v>
      </c>
      <c r="DT10" s="143">
        <v>388</v>
      </c>
      <c r="DU10" s="143">
        <v>400</v>
      </c>
      <c r="DV10" s="143">
        <v>378</v>
      </c>
      <c r="DW10" s="143">
        <v>416</v>
      </c>
      <c r="DX10" s="143">
        <v>513</v>
      </c>
      <c r="DY10" s="143">
        <v>523</v>
      </c>
      <c r="DZ10" s="143">
        <v>593</v>
      </c>
      <c r="EA10" s="143">
        <v>552</v>
      </c>
      <c r="EB10" s="143">
        <v>464</v>
      </c>
      <c r="EC10" s="143">
        <v>427</v>
      </c>
      <c r="ED10" s="143">
        <v>335</v>
      </c>
      <c r="EE10" s="143">
        <v>370</v>
      </c>
      <c r="EF10" s="143">
        <v>348</v>
      </c>
      <c r="EG10" s="143">
        <v>347</v>
      </c>
      <c r="EH10" s="143">
        <v>322</v>
      </c>
      <c r="EI10" s="143">
        <v>368</v>
      </c>
      <c r="EJ10" s="143">
        <v>453</v>
      </c>
      <c r="EK10" s="143">
        <v>529</v>
      </c>
      <c r="EL10" s="143">
        <v>613</v>
      </c>
      <c r="EM10" s="143">
        <v>520</v>
      </c>
      <c r="EN10" s="143">
        <v>475</v>
      </c>
      <c r="EO10" s="143">
        <v>449</v>
      </c>
      <c r="EP10" s="143">
        <v>423</v>
      </c>
      <c r="EQ10" s="143">
        <v>433</v>
      </c>
      <c r="ER10" s="143">
        <v>370</v>
      </c>
      <c r="ES10" s="143">
        <v>464</v>
      </c>
      <c r="ET10" s="143">
        <v>326</v>
      </c>
      <c r="EU10" s="143">
        <v>447</v>
      </c>
      <c r="EV10" s="143">
        <v>487</v>
      </c>
      <c r="EW10" s="143">
        <v>335</v>
      </c>
      <c r="EX10" s="143">
        <v>320</v>
      </c>
      <c r="EY10" s="143">
        <v>519</v>
      </c>
      <c r="EZ10" s="143">
        <v>579</v>
      </c>
      <c r="FA10" s="143">
        <v>531</v>
      </c>
      <c r="FB10" s="143">
        <v>548</v>
      </c>
      <c r="FC10" s="143">
        <v>599</v>
      </c>
      <c r="FD10" s="143">
        <v>532</v>
      </c>
      <c r="FE10" s="143">
        <v>638</v>
      </c>
      <c r="FF10" s="143">
        <v>497</v>
      </c>
      <c r="FG10" s="143">
        <v>559</v>
      </c>
      <c r="FH10" s="143">
        <v>644</v>
      </c>
      <c r="FI10" s="143">
        <v>642</v>
      </c>
      <c r="FJ10" s="143">
        <v>631</v>
      </c>
      <c r="FK10" s="143">
        <v>599</v>
      </c>
      <c r="FL10" s="143">
        <v>520</v>
      </c>
      <c r="FM10" s="143">
        <v>476</v>
      </c>
      <c r="FN10" s="143">
        <v>486</v>
      </c>
      <c r="FO10" s="143">
        <v>435</v>
      </c>
      <c r="FP10" s="143">
        <v>497</v>
      </c>
      <c r="FQ10" s="143">
        <v>497</v>
      </c>
      <c r="FR10" s="143">
        <v>388</v>
      </c>
      <c r="FS10" s="143">
        <v>429</v>
      </c>
      <c r="FT10" s="143">
        <v>520</v>
      </c>
      <c r="FU10" s="143">
        <v>494</v>
      </c>
      <c r="FV10" s="143">
        <v>489</v>
      </c>
      <c r="FW10" s="143">
        <v>420</v>
      </c>
      <c r="FX10" s="143">
        <v>271</v>
      </c>
      <c r="FY10" s="143">
        <v>322</v>
      </c>
      <c r="FZ10" s="143">
        <v>288</v>
      </c>
      <c r="GA10" s="143">
        <v>277</v>
      </c>
      <c r="GB10" s="143">
        <v>267</v>
      </c>
      <c r="GC10" s="143">
        <v>237</v>
      </c>
      <c r="GD10" s="143">
        <v>206</v>
      </c>
      <c r="GE10" s="143">
        <v>269</v>
      </c>
      <c r="GF10" s="143">
        <v>417</v>
      </c>
      <c r="GG10" s="143">
        <v>319</v>
      </c>
      <c r="GH10" s="143">
        <v>454</v>
      </c>
      <c r="GI10" s="143">
        <v>442</v>
      </c>
      <c r="GJ10" s="143">
        <v>313</v>
      </c>
      <c r="GK10" s="143">
        <v>334</v>
      </c>
      <c r="GL10" s="143">
        <v>273</v>
      </c>
      <c r="GM10" s="143">
        <v>266</v>
      </c>
      <c r="GN10" s="143">
        <v>275</v>
      </c>
      <c r="GO10" s="143">
        <v>267</v>
      </c>
      <c r="GP10" s="143">
        <v>244</v>
      </c>
      <c r="GQ10" s="143">
        <v>324</v>
      </c>
      <c r="GR10" s="143">
        <v>345</v>
      </c>
      <c r="GS10" s="143">
        <f>SUM(B10:GR10)/198</f>
        <v>396.96464646464648</v>
      </c>
      <c r="GT10" s="152"/>
      <c r="GU10" s="12" t="s">
        <v>33</v>
      </c>
      <c r="GV10" s="145" t="s">
        <v>30</v>
      </c>
      <c r="GW10" s="145">
        <f t="shared" si="13"/>
        <v>0.33333333333333331</v>
      </c>
      <c r="GX10" s="145">
        <f t="shared" si="13"/>
        <v>-0.28813559322033899</v>
      </c>
      <c r="GY10" s="145">
        <f t="shared" si="13"/>
        <v>0.13095238095238096</v>
      </c>
      <c r="GZ10" s="145">
        <f t="shared" si="13"/>
        <v>-1.5789473684210527E-2</v>
      </c>
      <c r="HA10" s="145">
        <f t="shared" si="13"/>
        <v>0.21390374331550802</v>
      </c>
      <c r="HB10" s="145">
        <f t="shared" si="13"/>
        <v>8.3700440528634359E-2</v>
      </c>
      <c r="HC10" s="145">
        <f t="shared" si="13"/>
        <v>9.7560975609756101E-2</v>
      </c>
      <c r="HD10" s="145">
        <f t="shared" si="13"/>
        <v>0.1111111111111111</v>
      </c>
      <c r="HE10" s="145">
        <f t="shared" si="13"/>
        <v>7.0000000000000007E-2</v>
      </c>
      <c r="HF10" s="145">
        <f t="shared" si="13"/>
        <v>-0.10903426791277258</v>
      </c>
      <c r="HG10" s="145">
        <f t="shared" si="14"/>
        <v>-4.195804195804196E-2</v>
      </c>
      <c r="HH10" s="145">
        <f t="shared" si="14"/>
        <v>-0.14233576642335766</v>
      </c>
      <c r="HI10" s="145">
        <f t="shared" si="14"/>
        <v>-2.9787234042553193E-2</v>
      </c>
      <c r="HJ10" s="145">
        <f t="shared" si="14"/>
        <v>-0.22368421052631579</v>
      </c>
      <c r="HK10" s="145">
        <f t="shared" si="14"/>
        <v>0.28813559322033899</v>
      </c>
      <c r="HL10" s="145">
        <f t="shared" si="14"/>
        <v>-0.23684210526315788</v>
      </c>
      <c r="HM10" s="145">
        <f t="shared" si="14"/>
        <v>0.14367816091954022</v>
      </c>
      <c r="HN10" s="145">
        <f t="shared" si="14"/>
        <v>0.21608040201005024</v>
      </c>
      <c r="HO10" s="145">
        <f t="shared" si="14"/>
        <v>0.24380165289256198</v>
      </c>
      <c r="HP10" s="145">
        <f t="shared" si="14"/>
        <v>0.15614617940199335</v>
      </c>
      <c r="HQ10" s="145">
        <f t="shared" si="15"/>
        <v>0.23275862068965517</v>
      </c>
      <c r="HR10" s="145">
        <f t="shared" si="15"/>
        <v>-8.6247086247086241E-2</v>
      </c>
      <c r="HS10" s="145">
        <f t="shared" si="15"/>
        <v>-0.15816326530612246</v>
      </c>
      <c r="HT10" s="145">
        <f t="shared" si="15"/>
        <v>6.363636363636363E-2</v>
      </c>
      <c r="HU10" s="145">
        <f t="shared" si="15"/>
        <v>0</v>
      </c>
      <c r="HV10" s="145">
        <f t="shared" si="15"/>
        <v>-1.7094017094017096E-2</v>
      </c>
      <c r="HW10" s="145">
        <f t="shared" si="15"/>
        <v>5.5072463768115941E-2</v>
      </c>
      <c r="HX10" s="145">
        <f t="shared" si="15"/>
        <v>-0.26648351648351648</v>
      </c>
      <c r="HY10" s="145">
        <f t="shared" si="15"/>
        <v>0.12734082397003746</v>
      </c>
      <c r="HZ10" s="145">
        <f t="shared" si="15"/>
        <v>0.46843853820598008</v>
      </c>
      <c r="IA10" s="145">
        <f t="shared" si="16"/>
        <v>-4.5248868778280542E-2</v>
      </c>
      <c r="IB10" s="145">
        <f t="shared" si="16"/>
        <v>3.5545023696682464E-2</v>
      </c>
      <c r="IC10" s="145">
        <f t="shared" si="16"/>
        <v>2.7459954233409609E-2</v>
      </c>
      <c r="ID10" s="145">
        <f t="shared" si="16"/>
        <v>-0.18262806236080179</v>
      </c>
      <c r="IE10" s="145">
        <f t="shared" si="16"/>
        <v>-9.5367847411444148E-2</v>
      </c>
      <c r="IF10" s="145">
        <f t="shared" si="16"/>
        <v>-0.13554216867469879</v>
      </c>
      <c r="IG10" s="145">
        <f t="shared" si="16"/>
        <v>0.1289198606271777</v>
      </c>
      <c r="IH10" s="145">
        <f t="shared" si="16"/>
        <v>1.8518518518518517E-2</v>
      </c>
      <c r="II10" s="145">
        <f t="shared" si="16"/>
        <v>0.21212121212121213</v>
      </c>
      <c r="IJ10" s="145">
        <f t="shared" si="16"/>
        <v>-0.19</v>
      </c>
      <c r="IK10" s="145">
        <f t="shared" si="17"/>
        <v>0.17901234567901234</v>
      </c>
      <c r="IL10" s="145">
        <f t="shared" si="17"/>
        <v>0.13350785340314136</v>
      </c>
      <c r="IM10" s="145">
        <f t="shared" si="17"/>
        <v>0.11085450346420324</v>
      </c>
      <c r="IN10" s="145">
        <f t="shared" si="17"/>
        <v>-2.0790020790020791E-2</v>
      </c>
      <c r="IO10" s="145">
        <f t="shared" si="17"/>
        <v>0.20594479830148621</v>
      </c>
      <c r="IP10" s="145">
        <f t="shared" si="17"/>
        <v>-0.27112676056338031</v>
      </c>
      <c r="IQ10" s="145">
        <f t="shared" si="17"/>
        <v>3.140096618357488E-2</v>
      </c>
      <c r="IR10" s="145">
        <f t="shared" si="17"/>
        <v>-0.12646370023419204</v>
      </c>
      <c r="IS10" s="145">
        <f t="shared" si="17"/>
        <v>5.0938337801608578E-2</v>
      </c>
      <c r="IT10" s="145">
        <f t="shared" si="17"/>
        <v>-0.17091836734693877</v>
      </c>
      <c r="IU10" s="145">
        <f t="shared" si="18"/>
        <v>0.2153846153846154</v>
      </c>
      <c r="IV10" s="145">
        <f t="shared" si="18"/>
        <v>-0.189873417721519</v>
      </c>
      <c r="IW10" s="145">
        <f t="shared" si="18"/>
        <v>0.1875</v>
      </c>
      <c r="IX10" s="145">
        <f t="shared" si="18"/>
        <v>0.29473684210526313</v>
      </c>
      <c r="IY10" s="145">
        <f t="shared" si="18"/>
        <v>3.8617886178861791E-2</v>
      </c>
      <c r="IZ10" s="145">
        <f t="shared" si="18"/>
        <v>0.10371819960861056</v>
      </c>
      <c r="JA10" s="145">
        <f t="shared" si="18"/>
        <v>-0.12588652482269502</v>
      </c>
      <c r="JB10" s="145">
        <f t="shared" si="18"/>
        <v>-0.17038539553752535</v>
      </c>
      <c r="JC10" s="145">
        <f t="shared" si="18"/>
        <v>6.6014669926650366E-2</v>
      </c>
      <c r="JD10" s="145">
        <f t="shared" si="18"/>
        <v>-0.14678899082568808</v>
      </c>
      <c r="JE10" s="145">
        <f t="shared" si="19"/>
        <v>4.8387096774193547E-2</v>
      </c>
      <c r="JF10" s="145">
        <f t="shared" si="19"/>
        <v>-1.0256410256410256E-2</v>
      </c>
      <c r="JG10" s="145">
        <f t="shared" si="19"/>
        <v>4.145077720207254E-2</v>
      </c>
      <c r="JH10" s="145">
        <f t="shared" si="19"/>
        <v>-0.17661691542288557</v>
      </c>
      <c r="JI10" s="145">
        <f t="shared" si="19"/>
        <v>0.1782477341389728</v>
      </c>
      <c r="JJ10" s="145">
        <f t="shared" si="19"/>
        <v>0.28974358974358977</v>
      </c>
      <c r="JK10" s="145">
        <f t="shared" si="19"/>
        <v>5.5666003976143144E-2</v>
      </c>
      <c r="JL10" s="145">
        <f t="shared" si="19"/>
        <v>2.2598870056497175E-2</v>
      </c>
      <c r="JM10" s="145">
        <f t="shared" si="19"/>
        <v>-3.3149171270718231E-2</v>
      </c>
      <c r="JN10" s="145">
        <f t="shared" si="19"/>
        <v>-4.1904761904761903E-2</v>
      </c>
      <c r="JO10" s="145">
        <f t="shared" si="20"/>
        <v>-0.23061630218687873</v>
      </c>
      <c r="JP10" s="145">
        <f t="shared" si="20"/>
        <v>-0.10335917312661498</v>
      </c>
      <c r="JQ10" s="145">
        <f t="shared" si="20"/>
        <v>-6.0518731988472622E-2</v>
      </c>
      <c r="JR10" s="145">
        <f t="shared" si="20"/>
        <v>-1.8404907975460124E-2</v>
      </c>
      <c r="JS10" s="145">
        <f t="shared" si="20"/>
        <v>3.7499999999999999E-2</v>
      </c>
      <c r="JT10" s="145">
        <f t="shared" si="20"/>
        <v>-0.22590361445783133</v>
      </c>
      <c r="JU10" s="145">
        <f t="shared" si="20"/>
        <v>0.20622568093385213</v>
      </c>
      <c r="JV10" s="145">
        <f t="shared" si="20"/>
        <v>0.22258064516129034</v>
      </c>
      <c r="JW10" s="145">
        <f t="shared" si="20"/>
        <v>0.21108179419525067</v>
      </c>
      <c r="JX10" s="145">
        <f t="shared" si="20"/>
        <v>-5.8823529411764705E-2</v>
      </c>
      <c r="JY10" s="145">
        <f t="shared" si="21"/>
        <v>8.7962962962962965E-2</v>
      </c>
      <c r="JZ10" s="145">
        <f t="shared" si="21"/>
        <v>-0.14680851063829786</v>
      </c>
      <c r="KA10" s="145">
        <f t="shared" si="21"/>
        <v>-0.10224438902743142</v>
      </c>
      <c r="KB10" s="145">
        <f t="shared" si="21"/>
        <v>-1.6666666666666666E-2</v>
      </c>
      <c r="KC10" s="145">
        <f t="shared" si="21"/>
        <v>-5.0847457627118647E-2</v>
      </c>
      <c r="KD10" s="145">
        <f t="shared" si="21"/>
        <v>-0.22619047619047619</v>
      </c>
      <c r="KE10" s="145">
        <f t="shared" si="21"/>
        <v>0.43461538461538463</v>
      </c>
      <c r="KF10" s="145">
        <f t="shared" si="21"/>
        <v>-0.20911528150134048</v>
      </c>
      <c r="KG10" s="145">
        <f t="shared" si="21"/>
        <v>7.4576271186440682E-2</v>
      </c>
      <c r="KH10" s="145">
        <f t="shared" si="21"/>
        <v>0.44479495268138802</v>
      </c>
      <c r="KI10" s="145">
        <f t="shared" si="22"/>
        <v>6.5502183406113537E-2</v>
      </c>
      <c r="KJ10" s="145">
        <f t="shared" si="22"/>
        <v>-5.9426229508196718E-2</v>
      </c>
      <c r="KK10" s="145">
        <f t="shared" si="22"/>
        <v>2.8322440087145968E-2</v>
      </c>
      <c r="KL10" s="145">
        <f t="shared" si="22"/>
        <v>2.9661016949152543E-2</v>
      </c>
      <c r="KM10" s="145">
        <f t="shared" si="22"/>
        <v>-0.22839506172839505</v>
      </c>
      <c r="KN10" s="145">
        <f t="shared" si="22"/>
        <v>6.4000000000000001E-2</v>
      </c>
      <c r="KO10" s="145">
        <f t="shared" si="22"/>
        <v>-6.7669172932330823E-2</v>
      </c>
      <c r="KP10" s="145">
        <f t="shared" si="22"/>
        <v>-0.18817204301075269</v>
      </c>
      <c r="KQ10" s="145">
        <f t="shared" si="22"/>
        <v>0.15894039735099338</v>
      </c>
      <c r="KR10" s="145">
        <f t="shared" si="22"/>
        <v>-0.23428571428571429</v>
      </c>
      <c r="KS10" s="145">
        <f t="shared" si="23"/>
        <v>0.19402985074626866</v>
      </c>
      <c r="KT10" s="145">
        <f t="shared" si="23"/>
        <v>0.46875</v>
      </c>
      <c r="KU10" s="145">
        <f t="shared" si="23"/>
        <v>7.2340425531914887E-2</v>
      </c>
      <c r="KV10" s="145">
        <f t="shared" si="23"/>
        <v>-3.7698412698412696E-2</v>
      </c>
      <c r="KW10" s="145">
        <f t="shared" si="23"/>
        <v>4.3298969072164947E-2</v>
      </c>
      <c r="KX10" s="145">
        <f t="shared" si="23"/>
        <v>-0.25296442687747034</v>
      </c>
      <c r="KY10" s="145">
        <f t="shared" si="23"/>
        <v>0.17989417989417988</v>
      </c>
      <c r="KZ10" s="145">
        <f t="shared" si="23"/>
        <v>-9.641255605381166E-2</v>
      </c>
      <c r="LA10" s="145">
        <f t="shared" si="23"/>
        <v>-3.4739454094292806E-2</v>
      </c>
      <c r="LB10" s="145">
        <f t="shared" si="23"/>
        <v>-4.6272493573264781E-2</v>
      </c>
      <c r="LC10" s="145">
        <f t="shared" si="24"/>
        <v>7.0080862533692723E-2</v>
      </c>
      <c r="LD10" s="145">
        <f t="shared" si="24"/>
        <v>-0.12090680100755667</v>
      </c>
      <c r="LE10" s="145">
        <f t="shared" si="9"/>
        <v>5.4441260744985676E-2</v>
      </c>
      <c r="LF10" s="145">
        <f t="shared" si="9"/>
        <v>0.40489130434782611</v>
      </c>
      <c r="LG10" s="145">
        <f t="shared" si="9"/>
        <v>-7.1566731141199227E-2</v>
      </c>
      <c r="LH10" s="145">
        <f t="shared" si="9"/>
        <v>0.14791666666666667</v>
      </c>
      <c r="LI10" s="145">
        <f t="shared" si="9"/>
        <v>-3.2667876588021776E-2</v>
      </c>
      <c r="LJ10" s="145">
        <f t="shared" si="9"/>
        <v>-0.22514071294559099</v>
      </c>
      <c r="LK10" s="145">
        <f t="shared" si="9"/>
        <v>5.569007263922518E-2</v>
      </c>
      <c r="LL10" s="145">
        <f t="shared" si="9"/>
        <v>-0.14449541284403669</v>
      </c>
      <c r="LM10" s="145">
        <f t="shared" si="9"/>
        <v>6.9705093833780166E-2</v>
      </c>
      <c r="LN10" s="145">
        <f t="shared" si="9"/>
        <v>-2.7568922305764409E-2</v>
      </c>
      <c r="LO10" s="145">
        <f t="shared" si="10"/>
        <v>3.0927835051546393E-2</v>
      </c>
      <c r="LP10" s="145">
        <f t="shared" si="10"/>
        <v>-5.5E-2</v>
      </c>
      <c r="LQ10" s="145">
        <f t="shared" si="10"/>
        <v>0.10052910052910052</v>
      </c>
      <c r="LR10" s="145">
        <f t="shared" si="10"/>
        <v>0.23317307692307693</v>
      </c>
      <c r="LS10" s="145">
        <f t="shared" si="10"/>
        <v>1.9493177387914229E-2</v>
      </c>
      <c r="LT10" s="145">
        <f t="shared" si="10"/>
        <v>0.13384321223709369</v>
      </c>
      <c r="LU10" s="145">
        <f t="shared" si="10"/>
        <v>-6.9139966273187178E-2</v>
      </c>
      <c r="LV10" s="145">
        <f t="shared" si="10"/>
        <v>-0.15942028985507245</v>
      </c>
      <c r="LW10" s="145">
        <f t="shared" si="10"/>
        <v>-7.9741379310344834E-2</v>
      </c>
      <c r="LX10" s="145">
        <f t="shared" si="10"/>
        <v>-0.21545667447306791</v>
      </c>
      <c r="LY10" s="145">
        <f t="shared" si="11"/>
        <v>0.1044776119402985</v>
      </c>
      <c r="LZ10" s="145">
        <f t="shared" si="11"/>
        <v>-5.9459459459459463E-2</v>
      </c>
      <c r="MA10" s="145">
        <f t="shared" si="11"/>
        <v>-2.8735632183908046E-3</v>
      </c>
      <c r="MB10" s="145">
        <f t="shared" si="11"/>
        <v>-7.2046109510086456E-2</v>
      </c>
      <c r="MC10" s="145">
        <f t="shared" si="11"/>
        <v>0.14285714285714285</v>
      </c>
      <c r="MD10" s="145">
        <f t="shared" si="11"/>
        <v>0.23097826086956522</v>
      </c>
      <c r="ME10" s="145">
        <f t="shared" si="11"/>
        <v>0.16777041942604856</v>
      </c>
      <c r="MF10" s="145">
        <f t="shared" si="11"/>
        <v>0.15879017013232513</v>
      </c>
      <c r="MG10" s="145">
        <f t="shared" si="11"/>
        <v>-0.15171288743882544</v>
      </c>
      <c r="MH10" s="145">
        <f t="shared" si="11"/>
        <v>-8.6538461538461536E-2</v>
      </c>
      <c r="MI10" s="145">
        <f t="shared" si="12"/>
        <v>-5.473684210526316E-2</v>
      </c>
      <c r="MJ10" s="145">
        <f t="shared" si="12"/>
        <v>-5.7906458797327393E-2</v>
      </c>
      <c r="MK10" s="145">
        <f t="shared" si="12"/>
        <v>2.3640661938534278E-2</v>
      </c>
      <c r="ML10" s="145">
        <f t="shared" si="12"/>
        <v>-0.14549653579676675</v>
      </c>
      <c r="MM10" s="145">
        <f t="shared" si="12"/>
        <v>0.25405405405405407</v>
      </c>
      <c r="MN10" s="145">
        <f t="shared" si="12"/>
        <v>-0.29741379310344829</v>
      </c>
      <c r="MO10" s="145">
        <f t="shared" si="12"/>
        <v>0.37116564417177916</v>
      </c>
      <c r="MP10" s="145">
        <f t="shared" si="12"/>
        <v>8.9485458612975396E-2</v>
      </c>
      <c r="MQ10" s="145">
        <f t="shared" si="12"/>
        <v>-0.31211498973305957</v>
      </c>
      <c r="MR10" s="145">
        <f t="shared" si="12"/>
        <v>-4.4776119402985072E-2</v>
      </c>
      <c r="MS10" s="145">
        <f>(EZ10-EY10)/EY10</f>
        <v>0.11560693641618497</v>
      </c>
      <c r="MT10" s="145">
        <f t="shared" si="5"/>
        <v>0.10362694300518134</v>
      </c>
      <c r="MU10" s="145">
        <f t="shared" si="5"/>
        <v>-9.03954802259887E-2</v>
      </c>
      <c r="MV10" s="145">
        <f t="shared" si="5"/>
        <v>3.1021897810218978E-2</v>
      </c>
      <c r="MW10" s="145">
        <f t="shared" si="5"/>
        <v>8.5141903171953262E-2</v>
      </c>
      <c r="MX10" s="145">
        <f t="shared" si="5"/>
        <v>-0.12593984962406016</v>
      </c>
      <c r="MY10" s="145">
        <f t="shared" si="5"/>
        <v>0.16614420062695925</v>
      </c>
      <c r="MZ10" s="145">
        <f t="shared" si="5"/>
        <v>-0.28370221327967809</v>
      </c>
      <c r="NA10" s="145">
        <f t="shared" si="5"/>
        <v>0.11091234347048301</v>
      </c>
      <c r="NB10" s="145">
        <f t="shared" si="5"/>
        <v>0.13198757763975155</v>
      </c>
      <c r="NC10" s="145">
        <f t="shared" si="5"/>
        <v>-3.1152647975077881E-3</v>
      </c>
      <c r="ND10" s="145">
        <f t="shared" si="6"/>
        <v>-1.7432646592709985E-2</v>
      </c>
      <c r="NE10" s="145">
        <f t="shared" si="6"/>
        <v>-5.3422370617696162E-2</v>
      </c>
      <c r="NF10" s="145">
        <f t="shared" si="6"/>
        <v>-0.15192307692307691</v>
      </c>
      <c r="NG10" s="145">
        <f t="shared" si="6"/>
        <v>-9.2436974789915971E-2</v>
      </c>
      <c r="NH10" s="145">
        <f t="shared" si="6"/>
        <v>2.0576131687242798E-2</v>
      </c>
      <c r="NI10" s="145">
        <f t="shared" si="6"/>
        <v>-0.11724137931034483</v>
      </c>
      <c r="NJ10" s="145">
        <f t="shared" si="6"/>
        <v>0.12474849094567404</v>
      </c>
      <c r="NK10" s="145">
        <f t="shared" si="6"/>
        <v>0</v>
      </c>
      <c r="NL10" s="145">
        <f t="shared" si="6"/>
        <v>-0.28092783505154639</v>
      </c>
      <c r="NM10" s="145">
        <f t="shared" si="6"/>
        <v>9.5571095571095568E-2</v>
      </c>
      <c r="NN10" s="145">
        <f t="shared" si="7"/>
        <v>0.17499999999999999</v>
      </c>
      <c r="NO10" s="145">
        <f t="shared" si="7"/>
        <v>-5.2631578947368418E-2</v>
      </c>
      <c r="NP10" s="145">
        <f t="shared" si="7"/>
        <v>-1.0224948875255624E-2</v>
      </c>
      <c r="NQ10" s="145">
        <f t="shared" si="7"/>
        <v>-0.16428571428571428</v>
      </c>
      <c r="NR10" s="145">
        <f t="shared" si="7"/>
        <v>-0.54981549815498154</v>
      </c>
      <c r="NS10" s="145">
        <f t="shared" si="7"/>
        <v>0.15838509316770186</v>
      </c>
      <c r="NT10" s="145">
        <f t="shared" si="7"/>
        <v>-0.11805555555555555</v>
      </c>
      <c r="NU10" s="145">
        <f t="shared" si="7"/>
        <v>-3.9711191335740074E-2</v>
      </c>
      <c r="NV10" s="145">
        <f t="shared" si="7"/>
        <v>-3.7453183520599252E-2</v>
      </c>
      <c r="NW10" s="145">
        <f t="shared" si="7"/>
        <v>-0.12658227848101267</v>
      </c>
      <c r="NX10" s="145">
        <f t="shared" si="8"/>
        <v>-0.15048543689320387</v>
      </c>
      <c r="NY10" s="145">
        <f t="shared" si="8"/>
        <v>0.2342007434944238</v>
      </c>
      <c r="NZ10" s="145">
        <f t="shared" si="8"/>
        <v>0.35491606714628299</v>
      </c>
      <c r="OA10" s="145">
        <f t="shared" si="8"/>
        <v>-0.30721003134796238</v>
      </c>
      <c r="OB10" s="145">
        <f t="shared" si="8"/>
        <v>0.29735682819383258</v>
      </c>
      <c r="OC10" s="145">
        <f t="shared" si="8"/>
        <v>-2.7149321266968326E-2</v>
      </c>
      <c r="OD10" s="145">
        <f t="shared" si="8"/>
        <v>-0.41214057507987223</v>
      </c>
      <c r="OE10" s="145">
        <f t="shared" si="8"/>
        <v>6.2874251497005984E-2</v>
      </c>
      <c r="OF10" s="145">
        <f t="shared" si="8"/>
        <v>-0.22344322344322345</v>
      </c>
      <c r="OG10" s="145">
        <f t="shared" si="8"/>
        <v>-2.6315789473684209E-2</v>
      </c>
      <c r="OH10" s="145">
        <f t="shared" si="8"/>
        <v>3.272727272727273E-2</v>
      </c>
      <c r="OI10" s="145">
        <f t="shared" si="8"/>
        <v>-2.9962546816479401E-2</v>
      </c>
      <c r="OJ10" s="145">
        <f t="shared" si="8"/>
        <v>-9.4262295081967207E-2</v>
      </c>
      <c r="OK10" s="145">
        <f t="shared" si="8"/>
        <v>0.24691358024691357</v>
      </c>
      <c r="OL10" s="145">
        <f t="shared" si="8"/>
        <v>6.0869565217391307E-2</v>
      </c>
    </row>
    <row r="11" spans="1:402" s="145" customFormat="1" ht="19.5" customHeight="1" x14ac:dyDescent="0.35">
      <c r="A11" s="12" t="s">
        <v>34</v>
      </c>
      <c r="B11" s="156">
        <f>'[1]Sept 07'!C51</f>
        <v>178</v>
      </c>
      <c r="C11" s="156">
        <f>'[1]Oct 07'!C51</f>
        <v>199</v>
      </c>
      <c r="D11" s="156">
        <f>'[1]Nov 07'!C51</f>
        <v>155</v>
      </c>
      <c r="E11" s="156">
        <f>'[1]Dec 07'!C51</f>
        <v>327</v>
      </c>
      <c r="F11" s="156">
        <f>'[1]Jan 08'!C51</f>
        <v>158</v>
      </c>
      <c r="G11" s="143">
        <f>'[1]Feb 08'!C51</f>
        <v>134</v>
      </c>
      <c r="H11" s="143">
        <f>'[1]Mar 08'!C51</f>
        <v>188</v>
      </c>
      <c r="I11" s="143">
        <v>184</v>
      </c>
      <c r="J11" s="143">
        <f>'[1]May 08'!C51</f>
        <v>223</v>
      </c>
      <c r="K11" s="143">
        <f>'[1]Jun 08'!C51</f>
        <v>253</v>
      </c>
      <c r="L11" s="143">
        <f>'[1]Jul 08'!C51</f>
        <v>183</v>
      </c>
      <c r="M11" s="143">
        <f>'[1]Aug 08'!C51</f>
        <v>180</v>
      </c>
      <c r="N11" s="143">
        <v>229</v>
      </c>
      <c r="O11" s="143">
        <v>197</v>
      </c>
      <c r="P11" s="143">
        <v>149</v>
      </c>
      <c r="Q11" s="143">
        <v>343</v>
      </c>
      <c r="R11" s="143">
        <v>183</v>
      </c>
      <c r="S11" s="143">
        <v>131</v>
      </c>
      <c r="T11" s="143">
        <v>173</v>
      </c>
      <c r="U11" s="143">
        <v>159</v>
      </c>
      <c r="V11" s="143">
        <v>183</v>
      </c>
      <c r="W11" s="143">
        <v>218</v>
      </c>
      <c r="X11" s="143">
        <v>150</v>
      </c>
      <c r="Y11" s="143">
        <v>110</v>
      </c>
      <c r="Z11" s="143">
        <v>113</v>
      </c>
      <c r="AA11" s="143">
        <v>121</v>
      </c>
      <c r="AB11" s="143">
        <v>93</v>
      </c>
      <c r="AC11" s="143">
        <v>197</v>
      </c>
      <c r="AD11" s="143">
        <v>85</v>
      </c>
      <c r="AE11" s="143">
        <v>77</v>
      </c>
      <c r="AF11" s="143">
        <v>88</v>
      </c>
      <c r="AG11" s="143">
        <v>96</v>
      </c>
      <c r="AH11" s="143">
        <v>139</v>
      </c>
      <c r="AI11" s="143">
        <v>151</v>
      </c>
      <c r="AJ11" s="143">
        <v>95</v>
      </c>
      <c r="AK11" s="143">
        <v>93</v>
      </c>
      <c r="AL11" s="143">
        <v>87</v>
      </c>
      <c r="AM11" s="143">
        <v>94</v>
      </c>
      <c r="AN11" s="143">
        <v>64</v>
      </c>
      <c r="AO11" s="143">
        <v>72</v>
      </c>
      <c r="AP11" s="143">
        <v>87</v>
      </c>
      <c r="AQ11" s="143">
        <v>55</v>
      </c>
      <c r="AR11" s="143">
        <v>70</v>
      </c>
      <c r="AS11" s="143">
        <v>72</v>
      </c>
      <c r="AT11" s="143">
        <v>101</v>
      </c>
      <c r="AU11" s="143">
        <v>105</v>
      </c>
      <c r="AV11" s="143">
        <v>51</v>
      </c>
      <c r="AW11" s="143">
        <v>42</v>
      </c>
      <c r="AX11" s="143">
        <v>45</v>
      </c>
      <c r="AY11" s="143">
        <v>45</v>
      </c>
      <c r="AZ11" s="143">
        <v>36</v>
      </c>
      <c r="BA11" s="143">
        <v>84</v>
      </c>
      <c r="BB11" s="143">
        <v>47</v>
      </c>
      <c r="BC11" s="143">
        <v>29</v>
      </c>
      <c r="BD11" s="143">
        <v>23</v>
      </c>
      <c r="BE11" s="143">
        <v>32</v>
      </c>
      <c r="BF11" s="143">
        <v>71</v>
      </c>
      <c r="BG11" s="143">
        <v>42</v>
      </c>
      <c r="BH11" s="143">
        <v>47</v>
      </c>
      <c r="BI11" s="143">
        <v>35</v>
      </c>
      <c r="BJ11" s="143">
        <v>44</v>
      </c>
      <c r="BK11" s="143">
        <v>34</v>
      </c>
      <c r="BL11" s="143">
        <v>24</v>
      </c>
      <c r="BM11" s="143">
        <v>80</v>
      </c>
      <c r="BN11" s="143">
        <v>30</v>
      </c>
      <c r="BO11" s="143">
        <v>26</v>
      </c>
      <c r="BP11" s="143">
        <v>27</v>
      </c>
      <c r="BQ11" s="143">
        <v>34</v>
      </c>
      <c r="BR11" s="143">
        <v>66</v>
      </c>
      <c r="BS11" s="143">
        <v>51</v>
      </c>
      <c r="BT11" s="143">
        <v>36</v>
      </c>
      <c r="BU11" s="143">
        <v>34</v>
      </c>
      <c r="BV11" s="143">
        <v>39</v>
      </c>
      <c r="BW11" s="143">
        <v>30</v>
      </c>
      <c r="BX11" s="143">
        <v>43</v>
      </c>
      <c r="BY11" s="143">
        <v>85</v>
      </c>
      <c r="BZ11" s="143">
        <v>46</v>
      </c>
      <c r="CA11" s="143">
        <v>48</v>
      </c>
      <c r="CB11" s="143">
        <v>61</v>
      </c>
      <c r="CC11" s="143">
        <v>63</v>
      </c>
      <c r="CD11" s="143">
        <v>105</v>
      </c>
      <c r="CE11" s="143">
        <v>106</v>
      </c>
      <c r="CF11" s="143">
        <v>70</v>
      </c>
      <c r="CG11" s="143">
        <v>51</v>
      </c>
      <c r="CH11" s="143">
        <v>84</v>
      </c>
      <c r="CI11" s="143">
        <v>57</v>
      </c>
      <c r="CJ11" s="143">
        <v>52</v>
      </c>
      <c r="CK11" s="143">
        <v>115</v>
      </c>
      <c r="CL11" s="143">
        <v>49</v>
      </c>
      <c r="CM11" s="143">
        <v>51</v>
      </c>
      <c r="CN11" s="143">
        <v>55</v>
      </c>
      <c r="CO11" s="143">
        <v>64</v>
      </c>
      <c r="CP11" s="143">
        <v>90</v>
      </c>
      <c r="CQ11" s="143">
        <v>115</v>
      </c>
      <c r="CR11" s="143">
        <v>67</v>
      </c>
      <c r="CS11" s="143">
        <v>58</v>
      </c>
      <c r="CT11" s="143">
        <v>54</v>
      </c>
      <c r="CU11" s="143">
        <v>42</v>
      </c>
      <c r="CV11" s="143">
        <v>42</v>
      </c>
      <c r="CW11" s="143">
        <v>106</v>
      </c>
      <c r="CX11" s="143">
        <v>33</v>
      </c>
      <c r="CY11" s="143">
        <v>41</v>
      </c>
      <c r="CZ11" s="143">
        <v>52</v>
      </c>
      <c r="DA11" s="143">
        <v>73</v>
      </c>
      <c r="DB11" s="143">
        <v>77</v>
      </c>
      <c r="DC11" s="143">
        <v>116</v>
      </c>
      <c r="DD11" s="143">
        <v>77</v>
      </c>
      <c r="DE11" s="143">
        <v>53</v>
      </c>
      <c r="DF11" s="143">
        <v>52</v>
      </c>
      <c r="DG11" s="143">
        <v>51</v>
      </c>
      <c r="DH11" s="143">
        <v>43</v>
      </c>
      <c r="DI11" s="143">
        <v>105</v>
      </c>
      <c r="DJ11" s="143">
        <v>56</v>
      </c>
      <c r="DK11" s="143">
        <v>32</v>
      </c>
      <c r="DL11" s="143">
        <v>44</v>
      </c>
      <c r="DM11" s="143">
        <v>65</v>
      </c>
      <c r="DN11" s="143">
        <v>97</v>
      </c>
      <c r="DO11" s="143">
        <v>99</v>
      </c>
      <c r="DP11" s="143">
        <v>75</v>
      </c>
      <c r="DQ11" s="143">
        <v>45</v>
      </c>
      <c r="DR11" s="143">
        <v>56</v>
      </c>
      <c r="DS11" s="143">
        <v>35</v>
      </c>
      <c r="DT11" s="143">
        <v>39</v>
      </c>
      <c r="DU11" s="143">
        <v>88</v>
      </c>
      <c r="DV11" s="143">
        <v>42</v>
      </c>
      <c r="DW11" s="143">
        <v>45</v>
      </c>
      <c r="DX11" s="143">
        <v>40</v>
      </c>
      <c r="DY11" s="143">
        <v>49</v>
      </c>
      <c r="DZ11" s="143">
        <v>65</v>
      </c>
      <c r="EA11" s="143">
        <v>103</v>
      </c>
      <c r="EB11" s="143">
        <v>54</v>
      </c>
      <c r="EC11" s="143">
        <v>36</v>
      </c>
      <c r="ED11" s="143">
        <v>37</v>
      </c>
      <c r="EE11" s="143">
        <v>41</v>
      </c>
      <c r="EF11" s="143">
        <v>28</v>
      </c>
      <c r="EG11" s="143">
        <v>87</v>
      </c>
      <c r="EH11" s="143">
        <v>37</v>
      </c>
      <c r="EI11" s="143">
        <v>20</v>
      </c>
      <c r="EJ11" s="143">
        <v>38</v>
      </c>
      <c r="EK11" s="143">
        <v>57</v>
      </c>
      <c r="EL11" s="143">
        <v>41</v>
      </c>
      <c r="EM11" s="143">
        <v>76</v>
      </c>
      <c r="EN11" s="143">
        <v>63</v>
      </c>
      <c r="EO11" s="143">
        <v>40</v>
      </c>
      <c r="EP11" s="143">
        <v>28</v>
      </c>
      <c r="EQ11" s="143">
        <v>25</v>
      </c>
      <c r="ER11" s="143">
        <v>21</v>
      </c>
      <c r="ES11" s="143">
        <v>53</v>
      </c>
      <c r="ET11" s="143">
        <v>36</v>
      </c>
      <c r="EU11" s="143">
        <v>15</v>
      </c>
      <c r="EV11" s="143">
        <v>26</v>
      </c>
      <c r="EW11" s="143">
        <v>26</v>
      </c>
      <c r="EX11" s="143">
        <v>40</v>
      </c>
      <c r="EY11" s="143">
        <v>21</v>
      </c>
      <c r="EZ11" s="143">
        <v>28</v>
      </c>
      <c r="FA11" s="143">
        <v>20</v>
      </c>
      <c r="FB11" s="143">
        <v>26</v>
      </c>
      <c r="FC11" s="143">
        <v>15</v>
      </c>
      <c r="FD11" s="143">
        <v>15</v>
      </c>
      <c r="FE11" s="143">
        <v>28</v>
      </c>
      <c r="FF11" s="143">
        <v>14</v>
      </c>
      <c r="FG11" s="143">
        <v>10</v>
      </c>
      <c r="FH11" s="143">
        <v>8</v>
      </c>
      <c r="FI11" s="143">
        <v>8</v>
      </c>
      <c r="FJ11" s="143">
        <v>16</v>
      </c>
      <c r="FK11" s="143">
        <v>13</v>
      </c>
      <c r="FL11" s="143">
        <v>16</v>
      </c>
      <c r="FM11" s="143">
        <v>17</v>
      </c>
      <c r="FN11" s="143">
        <v>12</v>
      </c>
      <c r="FO11" s="143">
        <v>18</v>
      </c>
      <c r="FP11" s="143">
        <v>9</v>
      </c>
      <c r="FQ11" s="143">
        <v>20</v>
      </c>
      <c r="FR11" s="143">
        <v>13</v>
      </c>
      <c r="FS11" s="143">
        <v>4</v>
      </c>
      <c r="FT11" s="143">
        <v>13</v>
      </c>
      <c r="FU11" s="143">
        <v>20</v>
      </c>
      <c r="FV11" s="143">
        <v>17</v>
      </c>
      <c r="FW11" s="143">
        <v>24</v>
      </c>
      <c r="FX11" s="143">
        <v>31</v>
      </c>
      <c r="FY11" s="143">
        <v>51</v>
      </c>
      <c r="FZ11" s="143">
        <v>39</v>
      </c>
      <c r="GA11" s="143">
        <v>34</v>
      </c>
      <c r="GB11" s="143">
        <v>43</v>
      </c>
      <c r="GC11" s="143">
        <v>88</v>
      </c>
      <c r="GD11" s="143">
        <v>34</v>
      </c>
      <c r="GE11" s="143">
        <v>28</v>
      </c>
      <c r="GF11" s="143">
        <v>30</v>
      </c>
      <c r="GG11" s="143">
        <v>32</v>
      </c>
      <c r="GH11" s="143">
        <v>37</v>
      </c>
      <c r="GI11" s="143">
        <v>44</v>
      </c>
      <c r="GJ11" s="143">
        <v>36</v>
      </c>
      <c r="GK11" s="143">
        <v>31</v>
      </c>
      <c r="GL11" s="143">
        <v>23</v>
      </c>
      <c r="GM11" s="143">
        <v>25</v>
      </c>
      <c r="GN11" s="143">
        <v>17</v>
      </c>
      <c r="GO11" s="143">
        <v>79</v>
      </c>
      <c r="GP11" s="143">
        <v>19</v>
      </c>
      <c r="GQ11" s="143">
        <v>12</v>
      </c>
      <c r="GR11" s="143">
        <v>31</v>
      </c>
      <c r="GS11" s="143">
        <f>SUM(B11:GR11)/198</f>
        <v>68.924242424242422</v>
      </c>
      <c r="GT11" s="152"/>
      <c r="GU11" s="12" t="s">
        <v>34</v>
      </c>
      <c r="GV11" s="145" t="s">
        <v>30</v>
      </c>
      <c r="GW11" s="145">
        <f t="shared" si="13"/>
        <v>0.11797752808988764</v>
      </c>
      <c r="GX11" s="145">
        <f t="shared" si="13"/>
        <v>-0.22110552763819097</v>
      </c>
      <c r="GY11" s="145">
        <f t="shared" si="13"/>
        <v>1.1096774193548387</v>
      </c>
      <c r="GZ11" s="145">
        <f t="shared" si="13"/>
        <v>-0.51681957186544347</v>
      </c>
      <c r="HA11" s="145">
        <f t="shared" si="13"/>
        <v>-0.15189873417721519</v>
      </c>
      <c r="HB11" s="145">
        <f t="shared" si="13"/>
        <v>0.40298507462686567</v>
      </c>
      <c r="HC11" s="145">
        <f t="shared" si="13"/>
        <v>-2.1276595744680851E-2</v>
      </c>
      <c r="HD11" s="145">
        <f t="shared" si="13"/>
        <v>0.21195652173913043</v>
      </c>
      <c r="HE11" s="145">
        <f t="shared" si="13"/>
        <v>0.13452914798206278</v>
      </c>
      <c r="HF11" s="145">
        <f t="shared" si="13"/>
        <v>-0.27667984189723321</v>
      </c>
      <c r="HG11" s="145">
        <f t="shared" si="14"/>
        <v>-1.6393442622950821E-2</v>
      </c>
      <c r="HH11" s="145">
        <f t="shared" si="14"/>
        <v>0.2722222222222222</v>
      </c>
      <c r="HI11" s="145">
        <f t="shared" si="14"/>
        <v>-0.13973799126637554</v>
      </c>
      <c r="HJ11" s="145">
        <f t="shared" si="14"/>
        <v>-0.24365482233502539</v>
      </c>
      <c r="HK11" s="145">
        <f t="shared" si="14"/>
        <v>1.3020134228187918</v>
      </c>
      <c r="HL11" s="145">
        <f t="shared" si="14"/>
        <v>-0.46647230320699706</v>
      </c>
      <c r="HM11" s="145">
        <f t="shared" si="14"/>
        <v>-0.28415300546448086</v>
      </c>
      <c r="HN11" s="145">
        <f t="shared" si="14"/>
        <v>0.32061068702290074</v>
      </c>
      <c r="HO11" s="145">
        <f t="shared" si="14"/>
        <v>-8.0924855491329481E-2</v>
      </c>
      <c r="HP11" s="145">
        <f t="shared" si="14"/>
        <v>0.15094339622641509</v>
      </c>
      <c r="HQ11" s="145">
        <f t="shared" si="15"/>
        <v>0.19125683060109289</v>
      </c>
      <c r="HR11" s="145">
        <f t="shared" si="15"/>
        <v>-0.31192660550458717</v>
      </c>
      <c r="HS11" s="145">
        <f t="shared" si="15"/>
        <v>-0.26666666666666666</v>
      </c>
      <c r="HT11" s="145">
        <f t="shared" si="15"/>
        <v>2.7272727272727271E-2</v>
      </c>
      <c r="HU11" s="145">
        <f t="shared" si="15"/>
        <v>7.0796460176991149E-2</v>
      </c>
      <c r="HV11" s="145">
        <f t="shared" si="15"/>
        <v>-0.23140495867768596</v>
      </c>
      <c r="HW11" s="145">
        <f t="shared" si="15"/>
        <v>1.118279569892473</v>
      </c>
      <c r="HX11" s="145">
        <f t="shared" si="15"/>
        <v>-0.56852791878172593</v>
      </c>
      <c r="HY11" s="145">
        <f t="shared" si="15"/>
        <v>-9.4117647058823528E-2</v>
      </c>
      <c r="HZ11" s="145">
        <f t="shared" si="15"/>
        <v>0.14285714285714285</v>
      </c>
      <c r="IA11" s="145">
        <f t="shared" si="16"/>
        <v>9.0909090909090912E-2</v>
      </c>
      <c r="IB11" s="145">
        <f t="shared" si="16"/>
        <v>0.44791666666666669</v>
      </c>
      <c r="IC11" s="145">
        <f t="shared" si="16"/>
        <v>8.6330935251798566E-2</v>
      </c>
      <c r="ID11" s="145">
        <f t="shared" si="16"/>
        <v>-0.37086092715231789</v>
      </c>
      <c r="IE11" s="145">
        <f t="shared" si="16"/>
        <v>-2.1052631578947368E-2</v>
      </c>
      <c r="IF11" s="145">
        <f t="shared" si="16"/>
        <v>-6.4516129032258063E-2</v>
      </c>
      <c r="IG11" s="145">
        <f t="shared" si="16"/>
        <v>8.0459770114942528E-2</v>
      </c>
      <c r="IH11" s="145">
        <f t="shared" si="16"/>
        <v>-0.31914893617021278</v>
      </c>
      <c r="II11" s="145">
        <f t="shared" si="16"/>
        <v>0.125</v>
      </c>
      <c r="IJ11" s="145">
        <f t="shared" si="16"/>
        <v>0.20833333333333334</v>
      </c>
      <c r="IK11" s="145">
        <f t="shared" si="17"/>
        <v>-0.36781609195402298</v>
      </c>
      <c r="IL11" s="145">
        <f t="shared" si="17"/>
        <v>0.27272727272727271</v>
      </c>
      <c r="IM11" s="145">
        <f t="shared" si="17"/>
        <v>2.8571428571428571E-2</v>
      </c>
      <c r="IN11" s="145">
        <f t="shared" si="17"/>
        <v>0.40277777777777779</v>
      </c>
      <c r="IO11" s="145">
        <f t="shared" si="17"/>
        <v>3.9603960396039604E-2</v>
      </c>
      <c r="IP11" s="145">
        <f t="shared" si="17"/>
        <v>-0.51428571428571423</v>
      </c>
      <c r="IQ11" s="145">
        <f t="shared" si="17"/>
        <v>-0.17647058823529413</v>
      </c>
      <c r="IR11" s="145">
        <f t="shared" si="17"/>
        <v>7.1428571428571425E-2</v>
      </c>
      <c r="IS11" s="145">
        <f t="shared" si="17"/>
        <v>0</v>
      </c>
      <c r="IT11" s="145">
        <f t="shared" si="17"/>
        <v>-0.2</v>
      </c>
      <c r="IU11" s="145">
        <f t="shared" si="18"/>
        <v>1.3333333333333333</v>
      </c>
      <c r="IV11" s="145">
        <f t="shared" si="18"/>
        <v>-0.44047619047619047</v>
      </c>
      <c r="IW11" s="145">
        <f t="shared" si="18"/>
        <v>-0.38297872340425532</v>
      </c>
      <c r="IX11" s="145">
        <f t="shared" si="18"/>
        <v>-0.20689655172413793</v>
      </c>
      <c r="IY11" s="145">
        <f t="shared" si="18"/>
        <v>0.39130434782608697</v>
      </c>
      <c r="IZ11" s="145">
        <f t="shared" si="18"/>
        <v>1.21875</v>
      </c>
      <c r="JA11" s="145">
        <f t="shared" si="18"/>
        <v>-0.40845070422535212</v>
      </c>
      <c r="JB11" s="145">
        <f t="shared" si="18"/>
        <v>0.11904761904761904</v>
      </c>
      <c r="JC11" s="145">
        <f t="shared" si="18"/>
        <v>-0.25531914893617019</v>
      </c>
      <c r="JD11" s="145">
        <f t="shared" si="18"/>
        <v>0.25714285714285712</v>
      </c>
      <c r="JE11" s="145">
        <f t="shared" si="19"/>
        <v>-0.22727272727272727</v>
      </c>
      <c r="JF11" s="145">
        <f t="shared" si="19"/>
        <v>-0.29411764705882354</v>
      </c>
      <c r="JG11" s="145">
        <f t="shared" si="19"/>
        <v>2.3333333333333335</v>
      </c>
      <c r="JH11" s="145">
        <f t="shared" si="19"/>
        <v>-0.625</v>
      </c>
      <c r="JI11" s="145">
        <f t="shared" si="19"/>
        <v>-0.13333333333333333</v>
      </c>
      <c r="JJ11" s="145">
        <f t="shared" si="19"/>
        <v>3.8461538461538464E-2</v>
      </c>
      <c r="JK11" s="145">
        <f t="shared" si="19"/>
        <v>0.25925925925925924</v>
      </c>
      <c r="JL11" s="145">
        <f t="shared" si="19"/>
        <v>0.94117647058823528</v>
      </c>
      <c r="JM11" s="145">
        <f t="shared" si="19"/>
        <v>-0.22727272727272727</v>
      </c>
      <c r="JN11" s="145">
        <f t="shared" si="19"/>
        <v>-0.29411764705882354</v>
      </c>
      <c r="JO11" s="145">
        <f t="shared" si="20"/>
        <v>-5.5555555555555552E-2</v>
      </c>
      <c r="JP11" s="145">
        <f t="shared" si="20"/>
        <v>0.14705882352941177</v>
      </c>
      <c r="JQ11" s="145">
        <f t="shared" si="20"/>
        <v>-0.23076923076923078</v>
      </c>
      <c r="JR11" s="145">
        <f t="shared" si="20"/>
        <v>0.43333333333333335</v>
      </c>
      <c r="JS11" s="145">
        <f t="shared" si="20"/>
        <v>0.97674418604651159</v>
      </c>
      <c r="JT11" s="145">
        <f t="shared" si="20"/>
        <v>-0.45882352941176469</v>
      </c>
      <c r="JU11" s="145">
        <f t="shared" si="20"/>
        <v>4.3478260869565216E-2</v>
      </c>
      <c r="JV11" s="145">
        <f t="shared" si="20"/>
        <v>0.27083333333333331</v>
      </c>
      <c r="JW11" s="145">
        <f t="shared" si="20"/>
        <v>3.2786885245901641E-2</v>
      </c>
      <c r="JX11" s="145">
        <f t="shared" si="20"/>
        <v>0.66666666666666663</v>
      </c>
      <c r="JY11" s="145">
        <f t="shared" si="21"/>
        <v>9.5238095238095247E-3</v>
      </c>
      <c r="JZ11" s="145">
        <f t="shared" si="21"/>
        <v>-0.33962264150943394</v>
      </c>
      <c r="KA11" s="145">
        <f t="shared" si="21"/>
        <v>-0.27142857142857141</v>
      </c>
      <c r="KB11" s="145">
        <f t="shared" si="21"/>
        <v>0.6470588235294118</v>
      </c>
      <c r="KC11" s="145">
        <f t="shared" si="21"/>
        <v>-0.32142857142857145</v>
      </c>
      <c r="KD11" s="145">
        <f t="shared" si="21"/>
        <v>-8.771929824561403E-2</v>
      </c>
      <c r="KE11" s="145">
        <f t="shared" si="21"/>
        <v>1.2115384615384615</v>
      </c>
      <c r="KF11" s="145">
        <f t="shared" si="21"/>
        <v>-0.57391304347826089</v>
      </c>
      <c r="KG11" s="145">
        <f t="shared" si="21"/>
        <v>4.0816326530612242E-2</v>
      </c>
      <c r="KH11" s="145">
        <f t="shared" si="21"/>
        <v>7.8431372549019607E-2</v>
      </c>
      <c r="KI11" s="145">
        <f t="shared" si="22"/>
        <v>0.16363636363636364</v>
      </c>
      <c r="KJ11" s="145">
        <f t="shared" si="22"/>
        <v>0.40625</v>
      </c>
      <c r="KK11" s="145">
        <f t="shared" si="22"/>
        <v>0.27777777777777779</v>
      </c>
      <c r="KL11" s="145">
        <f t="shared" si="22"/>
        <v>-0.41739130434782606</v>
      </c>
      <c r="KM11" s="145">
        <f t="shared" si="22"/>
        <v>-0.13432835820895522</v>
      </c>
      <c r="KN11" s="145">
        <f t="shared" si="22"/>
        <v>-6.8965517241379309E-2</v>
      </c>
      <c r="KO11" s="145">
        <f t="shared" si="22"/>
        <v>-0.22222222222222221</v>
      </c>
      <c r="KP11" s="145">
        <f t="shared" si="22"/>
        <v>0</v>
      </c>
      <c r="KQ11" s="145">
        <f t="shared" si="22"/>
        <v>1.5238095238095237</v>
      </c>
      <c r="KR11" s="145">
        <f t="shared" si="22"/>
        <v>-0.68867924528301883</v>
      </c>
      <c r="KS11" s="145">
        <f t="shared" si="23"/>
        <v>0.24242424242424243</v>
      </c>
      <c r="KT11" s="145">
        <f t="shared" si="23"/>
        <v>0.26829268292682928</v>
      </c>
      <c r="KU11" s="145">
        <f t="shared" si="23"/>
        <v>0.40384615384615385</v>
      </c>
      <c r="KV11" s="145">
        <f t="shared" si="23"/>
        <v>5.4794520547945202E-2</v>
      </c>
      <c r="KW11" s="145">
        <f t="shared" si="23"/>
        <v>0.50649350649350644</v>
      </c>
      <c r="KX11" s="145">
        <f t="shared" si="23"/>
        <v>-0.33620689655172414</v>
      </c>
      <c r="KY11" s="145">
        <f t="shared" si="23"/>
        <v>-0.31168831168831168</v>
      </c>
      <c r="KZ11" s="145">
        <f t="shared" si="23"/>
        <v>-1.8867924528301886E-2</v>
      </c>
      <c r="LA11" s="145">
        <f t="shared" si="23"/>
        <v>-1.9230769230769232E-2</v>
      </c>
      <c r="LB11" s="145">
        <f t="shared" si="23"/>
        <v>-0.15686274509803921</v>
      </c>
      <c r="LC11" s="145">
        <f t="shared" si="24"/>
        <v>1.441860465116279</v>
      </c>
      <c r="LD11" s="145">
        <f t="shared" si="24"/>
        <v>-0.46666666666666667</v>
      </c>
      <c r="LE11" s="145">
        <f t="shared" si="9"/>
        <v>-0.42857142857142855</v>
      </c>
      <c r="LF11" s="145">
        <f t="shared" si="9"/>
        <v>0.375</v>
      </c>
      <c r="LG11" s="145">
        <f t="shared" si="9"/>
        <v>0.47727272727272729</v>
      </c>
      <c r="LH11" s="145">
        <f t="shared" si="9"/>
        <v>0.49230769230769234</v>
      </c>
      <c r="LI11" s="145">
        <f t="shared" si="9"/>
        <v>2.0618556701030927E-2</v>
      </c>
      <c r="LJ11" s="145">
        <f t="shared" si="9"/>
        <v>-0.24242424242424243</v>
      </c>
      <c r="LK11" s="145">
        <f t="shared" si="9"/>
        <v>-0.4</v>
      </c>
      <c r="LL11" s="145">
        <f t="shared" si="9"/>
        <v>0.24444444444444444</v>
      </c>
      <c r="LM11" s="145">
        <f t="shared" si="9"/>
        <v>-0.375</v>
      </c>
      <c r="LN11" s="145">
        <f t="shared" si="9"/>
        <v>0.11428571428571428</v>
      </c>
      <c r="LO11" s="145">
        <f t="shared" si="10"/>
        <v>1.2564102564102564</v>
      </c>
      <c r="LP11" s="145">
        <f t="shared" si="10"/>
        <v>-0.52272727272727271</v>
      </c>
      <c r="LQ11" s="145">
        <f t="shared" si="10"/>
        <v>7.1428571428571425E-2</v>
      </c>
      <c r="LR11" s="145">
        <f t="shared" si="10"/>
        <v>-0.1111111111111111</v>
      </c>
      <c r="LS11" s="145">
        <f t="shared" si="10"/>
        <v>0.22500000000000001</v>
      </c>
      <c r="LT11" s="145">
        <f t="shared" si="10"/>
        <v>0.32653061224489793</v>
      </c>
      <c r="LU11" s="145">
        <f t="shared" si="10"/>
        <v>0.58461538461538465</v>
      </c>
      <c r="LV11" s="145">
        <f t="shared" si="10"/>
        <v>-0.47572815533980584</v>
      </c>
      <c r="LW11" s="145">
        <f t="shared" si="10"/>
        <v>-0.33333333333333331</v>
      </c>
      <c r="LX11" s="145">
        <f t="shared" si="10"/>
        <v>2.7777777777777776E-2</v>
      </c>
      <c r="LY11" s="145">
        <f t="shared" si="11"/>
        <v>0.10810810810810811</v>
      </c>
      <c r="LZ11" s="145">
        <f t="shared" si="11"/>
        <v>-0.31707317073170732</v>
      </c>
      <c r="MA11" s="145">
        <f t="shared" si="11"/>
        <v>2.1071428571428572</v>
      </c>
      <c r="MB11" s="145">
        <f t="shared" si="11"/>
        <v>-0.57471264367816088</v>
      </c>
      <c r="MC11" s="145">
        <f t="shared" si="11"/>
        <v>-0.45945945945945948</v>
      </c>
      <c r="MD11" s="145">
        <f t="shared" si="11"/>
        <v>0.9</v>
      </c>
      <c r="ME11" s="145">
        <f t="shared" si="11"/>
        <v>0.5</v>
      </c>
      <c r="MF11" s="145">
        <f t="shared" si="11"/>
        <v>-0.2807017543859649</v>
      </c>
      <c r="MG11" s="145">
        <f t="shared" si="11"/>
        <v>0.85365853658536583</v>
      </c>
      <c r="MH11" s="145">
        <f t="shared" si="11"/>
        <v>-0.17105263157894737</v>
      </c>
      <c r="MI11" s="145">
        <f t="shared" si="12"/>
        <v>-0.36507936507936506</v>
      </c>
      <c r="MJ11" s="145">
        <f t="shared" si="12"/>
        <v>-0.3</v>
      </c>
      <c r="MK11" s="145">
        <f t="shared" si="12"/>
        <v>-0.10714285714285714</v>
      </c>
      <c r="ML11" s="145">
        <f t="shared" si="12"/>
        <v>-0.16</v>
      </c>
      <c r="MM11" s="145">
        <f t="shared" si="12"/>
        <v>1.5238095238095237</v>
      </c>
      <c r="MN11" s="145">
        <f t="shared" si="12"/>
        <v>-0.32075471698113206</v>
      </c>
      <c r="MO11" s="145">
        <f t="shared" si="12"/>
        <v>-0.58333333333333337</v>
      </c>
      <c r="MP11" s="145">
        <f t="shared" si="12"/>
        <v>0.73333333333333328</v>
      </c>
      <c r="MQ11" s="145">
        <f t="shared" si="12"/>
        <v>0</v>
      </c>
      <c r="MR11" s="145">
        <f t="shared" si="12"/>
        <v>0.53846153846153844</v>
      </c>
      <c r="MS11" s="145">
        <f>(EZ11-EY11)/EY11</f>
        <v>0.33333333333333331</v>
      </c>
      <c r="MT11" s="145">
        <f t="shared" si="5"/>
        <v>0.25</v>
      </c>
      <c r="MU11" s="145">
        <f t="shared" si="5"/>
        <v>-0.4</v>
      </c>
      <c r="MV11" s="145">
        <f t="shared" si="5"/>
        <v>0.23076923076923078</v>
      </c>
      <c r="MW11" s="145">
        <f t="shared" si="5"/>
        <v>-0.73333333333333328</v>
      </c>
      <c r="MX11" s="145">
        <f t="shared" si="5"/>
        <v>0</v>
      </c>
      <c r="MY11" s="145">
        <f t="shared" si="5"/>
        <v>0.4642857142857143</v>
      </c>
      <c r="MZ11" s="145">
        <f t="shared" si="5"/>
        <v>-1</v>
      </c>
      <c r="NA11" s="145">
        <f t="shared" si="5"/>
        <v>-0.4</v>
      </c>
      <c r="NB11" s="145">
        <f t="shared" si="5"/>
        <v>-0.25</v>
      </c>
      <c r="NC11" s="145">
        <f t="shared" si="5"/>
        <v>0</v>
      </c>
      <c r="ND11" s="145">
        <f t="shared" si="6"/>
        <v>0.5</v>
      </c>
      <c r="NE11" s="145">
        <f t="shared" si="6"/>
        <v>-0.23076923076923078</v>
      </c>
      <c r="NF11" s="145">
        <f t="shared" si="6"/>
        <v>0.1875</v>
      </c>
      <c r="NG11" s="145">
        <f t="shared" si="6"/>
        <v>5.8823529411764705E-2</v>
      </c>
      <c r="NH11" s="145">
        <f t="shared" si="6"/>
        <v>-0.41666666666666669</v>
      </c>
      <c r="NI11" s="145">
        <f t="shared" si="6"/>
        <v>0.33333333333333331</v>
      </c>
      <c r="NJ11" s="145">
        <f t="shared" si="6"/>
        <v>-1</v>
      </c>
      <c r="NK11" s="145">
        <f t="shared" si="6"/>
        <v>0.55000000000000004</v>
      </c>
      <c r="NL11" s="145">
        <f t="shared" si="6"/>
        <v>-0.53846153846153844</v>
      </c>
      <c r="NM11" s="145">
        <f t="shared" si="6"/>
        <v>-2.25</v>
      </c>
      <c r="NN11" s="145">
        <f t="shared" si="7"/>
        <v>0.69230769230769229</v>
      </c>
      <c r="NO11" s="145">
        <f t="shared" si="7"/>
        <v>0.35</v>
      </c>
      <c r="NP11" s="145">
        <f t="shared" si="7"/>
        <v>-0.17647058823529413</v>
      </c>
      <c r="NQ11" s="145">
        <f t="shared" si="7"/>
        <v>0.29166666666666669</v>
      </c>
      <c r="NR11" s="145">
        <f t="shared" si="7"/>
        <v>0.22580645161290322</v>
      </c>
      <c r="NS11" s="145">
        <f t="shared" si="7"/>
        <v>0.39215686274509803</v>
      </c>
      <c r="NT11" s="145">
        <f t="shared" si="7"/>
        <v>-0.30769230769230771</v>
      </c>
      <c r="NU11" s="145">
        <f t="shared" si="7"/>
        <v>-0.14705882352941177</v>
      </c>
      <c r="NV11" s="145">
        <f t="shared" si="7"/>
        <v>0.20930232558139536</v>
      </c>
      <c r="NW11" s="145">
        <f t="shared" si="7"/>
        <v>0.51136363636363635</v>
      </c>
      <c r="NX11" s="145">
        <f t="shared" si="8"/>
        <v>-1.588235294117647</v>
      </c>
      <c r="NY11" s="145">
        <f t="shared" si="8"/>
        <v>-0.21428571428571427</v>
      </c>
      <c r="NZ11" s="145">
        <f t="shared" si="8"/>
        <v>6.6666666666666666E-2</v>
      </c>
      <c r="OA11" s="145">
        <f t="shared" si="8"/>
        <v>6.25E-2</v>
      </c>
      <c r="OB11" s="145">
        <f t="shared" si="8"/>
        <v>0.13513513513513514</v>
      </c>
      <c r="OC11" s="145">
        <f t="shared" si="8"/>
        <v>0.15909090909090909</v>
      </c>
      <c r="OD11" s="145">
        <f t="shared" si="8"/>
        <v>-0.22222222222222221</v>
      </c>
      <c r="OE11" s="145">
        <f t="shared" si="8"/>
        <v>-0.16129032258064516</v>
      </c>
      <c r="OF11" s="145">
        <f t="shared" si="8"/>
        <v>-0.34782608695652173</v>
      </c>
      <c r="OG11" s="145">
        <f t="shared" si="8"/>
        <v>0.08</v>
      </c>
      <c r="OH11" s="145">
        <f t="shared" si="8"/>
        <v>-0.47058823529411764</v>
      </c>
      <c r="OI11" s="145">
        <f t="shared" si="8"/>
        <v>0.78481012658227844</v>
      </c>
      <c r="OJ11" s="145">
        <f t="shared" si="8"/>
        <v>-3.1578947368421053</v>
      </c>
      <c r="OK11" s="145">
        <f t="shared" si="8"/>
        <v>-0.58333333333333337</v>
      </c>
      <c r="OL11" s="145">
        <f t="shared" si="8"/>
        <v>0.61290322580645162</v>
      </c>
    </row>
    <row r="12" spans="1:402" x14ac:dyDescent="0.35">
      <c r="B12" s="23"/>
      <c r="C12" s="23"/>
      <c r="D12" s="23"/>
      <c r="E12" s="23"/>
      <c r="F12" s="23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143"/>
      <c r="GV12" s="25"/>
      <c r="GW12" s="25"/>
      <c r="GX12" s="25"/>
      <c r="GY12" s="25"/>
    </row>
    <row r="14" spans="1:402" ht="16" thickBot="1" x14ac:dyDescent="0.4">
      <c r="A14" s="12" t="s">
        <v>35</v>
      </c>
      <c r="GU14" s="12" t="s">
        <v>36</v>
      </c>
    </row>
    <row r="15" spans="1:402" x14ac:dyDescent="0.35">
      <c r="B15" s="13">
        <v>2007</v>
      </c>
      <c r="C15" s="13"/>
      <c r="D15" s="13"/>
      <c r="E15" s="14"/>
      <c r="F15" s="15">
        <v>2008</v>
      </c>
      <c r="G15" s="16"/>
      <c r="H15" s="17"/>
      <c r="I15" s="16"/>
      <c r="J15" s="16"/>
      <c r="K15" s="16"/>
      <c r="L15" s="18"/>
      <c r="M15" s="18"/>
      <c r="N15" s="18"/>
      <c r="O15" s="18"/>
      <c r="P15" s="18"/>
      <c r="Q15" s="18"/>
      <c r="R15" s="19">
        <v>2009</v>
      </c>
      <c r="S15" s="19"/>
      <c r="T15" s="19"/>
      <c r="U15" s="19"/>
      <c r="V15" s="16"/>
      <c r="W15" s="16"/>
      <c r="X15" s="16"/>
      <c r="Y15" s="16"/>
      <c r="Z15" s="16"/>
      <c r="AA15" s="16"/>
      <c r="AB15" s="16"/>
      <c r="AC15" s="16"/>
      <c r="AD15" s="19">
        <v>2010</v>
      </c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>
        <v>2011</v>
      </c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9">
        <v>2012</v>
      </c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9">
        <v>2013</v>
      </c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>
        <v>2014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>
        <v>2015</v>
      </c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9">
        <v>2016</v>
      </c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9">
        <v>2017</v>
      </c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>
        <v>2018</v>
      </c>
      <c r="DW15" s="19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9">
        <v>2019</v>
      </c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9">
        <v>2020</v>
      </c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9">
        <v>2021</v>
      </c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>
        <v>2022</v>
      </c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>
        <v>2023</v>
      </c>
      <c r="GE15" s="19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9">
        <v>2024</v>
      </c>
      <c r="GQ15" s="19"/>
      <c r="GR15" s="183"/>
      <c r="GV15" s="13">
        <v>2007</v>
      </c>
      <c r="GW15" s="13"/>
      <c r="GX15" s="13"/>
      <c r="GY15" s="14"/>
      <c r="GZ15" s="15">
        <v>2008</v>
      </c>
      <c r="HA15" s="16"/>
      <c r="HB15" s="17"/>
      <c r="HC15" s="16"/>
      <c r="HD15" s="16"/>
      <c r="HE15" s="16"/>
      <c r="HF15" s="18"/>
      <c r="HG15" s="18"/>
      <c r="HH15" s="18"/>
      <c r="HI15" s="18"/>
      <c r="HJ15" s="18"/>
      <c r="HK15" s="18"/>
      <c r="HL15" s="19">
        <v>2009</v>
      </c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>
        <v>2010</v>
      </c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>
        <v>2011</v>
      </c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>
        <v>2012</v>
      </c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>
        <v>2013</v>
      </c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>
        <v>2014</v>
      </c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>
        <v>2015</v>
      </c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>
        <v>2016</v>
      </c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>
        <v>2017</v>
      </c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>
        <v>2018</v>
      </c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>
        <v>2019</v>
      </c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>
        <v>2020</v>
      </c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>
        <v>2021</v>
      </c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>
        <v>2022</v>
      </c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>
        <v>2023</v>
      </c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>
        <v>2024</v>
      </c>
      <c r="OK15" s="19"/>
      <c r="OL15" s="19"/>
    </row>
    <row r="16" spans="1:402" s="2" customFormat="1" x14ac:dyDescent="0.35">
      <c r="A16" s="26"/>
      <c r="B16" s="20" t="s">
        <v>3</v>
      </c>
      <c r="C16" s="21" t="s">
        <v>4</v>
      </c>
      <c r="D16" s="20" t="s">
        <v>5</v>
      </c>
      <c r="E16" s="20" t="s">
        <v>6</v>
      </c>
      <c r="F16" s="20" t="s">
        <v>7</v>
      </c>
      <c r="G16" s="20" t="s">
        <v>8</v>
      </c>
      <c r="H16" s="20" t="s">
        <v>9</v>
      </c>
      <c r="I16" s="20" t="s">
        <v>10</v>
      </c>
      <c r="J16" s="20" t="s">
        <v>11</v>
      </c>
      <c r="K16" s="20" t="s">
        <v>12</v>
      </c>
      <c r="L16" s="20" t="s">
        <v>13</v>
      </c>
      <c r="M16" s="20" t="s">
        <v>14</v>
      </c>
      <c r="N16" s="20" t="s">
        <v>3</v>
      </c>
      <c r="O16" s="20" t="s">
        <v>4</v>
      </c>
      <c r="P16" s="20" t="s">
        <v>5</v>
      </c>
      <c r="Q16" s="20" t="s">
        <v>15</v>
      </c>
      <c r="R16" s="22" t="s">
        <v>7</v>
      </c>
      <c r="S16" s="22" t="s">
        <v>8</v>
      </c>
      <c r="T16" s="22" t="s">
        <v>9</v>
      </c>
      <c r="U16" s="22" t="s">
        <v>10</v>
      </c>
      <c r="V16" s="22" t="s">
        <v>11</v>
      </c>
      <c r="W16" s="22" t="s">
        <v>12</v>
      </c>
      <c r="X16" s="22" t="s">
        <v>13</v>
      </c>
      <c r="Y16" s="22" t="s">
        <v>14</v>
      </c>
      <c r="Z16" s="22" t="s">
        <v>16</v>
      </c>
      <c r="AA16" s="22" t="s">
        <v>4</v>
      </c>
      <c r="AB16" s="22" t="s">
        <v>5</v>
      </c>
      <c r="AC16" s="22" t="s">
        <v>6</v>
      </c>
      <c r="AD16" s="22" t="s">
        <v>17</v>
      </c>
      <c r="AE16" s="22" t="s">
        <v>8</v>
      </c>
      <c r="AF16" s="22" t="s">
        <v>18</v>
      </c>
      <c r="AG16" s="22" t="s">
        <v>10</v>
      </c>
      <c r="AH16" s="22" t="s">
        <v>11</v>
      </c>
      <c r="AI16" s="22" t="s">
        <v>12</v>
      </c>
      <c r="AJ16" s="22" t="s">
        <v>13</v>
      </c>
      <c r="AK16" s="22" t="s">
        <v>14</v>
      </c>
      <c r="AL16" s="22" t="s">
        <v>16</v>
      </c>
      <c r="AM16" s="22" t="s">
        <v>19</v>
      </c>
      <c r="AN16" s="22" t="s">
        <v>5</v>
      </c>
      <c r="AO16" s="22" t="s">
        <v>6</v>
      </c>
      <c r="AP16" s="22" t="s">
        <v>7</v>
      </c>
      <c r="AQ16" s="22" t="s">
        <v>8</v>
      </c>
      <c r="AR16" s="22" t="s">
        <v>9</v>
      </c>
      <c r="AS16" s="22" t="s">
        <v>10</v>
      </c>
      <c r="AT16" s="22" t="s">
        <v>11</v>
      </c>
      <c r="AU16" s="22" t="s">
        <v>12</v>
      </c>
      <c r="AV16" s="22" t="s">
        <v>13</v>
      </c>
      <c r="AW16" s="22" t="s">
        <v>14</v>
      </c>
      <c r="AX16" s="22" t="s">
        <v>3</v>
      </c>
      <c r="AY16" s="22" t="s">
        <v>4</v>
      </c>
      <c r="AZ16" s="22" t="s">
        <v>5</v>
      </c>
      <c r="BA16" s="22" t="s">
        <v>15</v>
      </c>
      <c r="BB16" s="22" t="s">
        <v>7</v>
      </c>
      <c r="BC16" s="22" t="s">
        <v>8</v>
      </c>
      <c r="BD16" s="22" t="s">
        <v>18</v>
      </c>
      <c r="BE16" s="22" t="s">
        <v>10</v>
      </c>
      <c r="BF16" s="22" t="s">
        <v>11</v>
      </c>
      <c r="BG16" s="22" t="s">
        <v>12</v>
      </c>
      <c r="BH16" s="22" t="s">
        <v>20</v>
      </c>
      <c r="BI16" s="22" t="s">
        <v>21</v>
      </c>
      <c r="BJ16" s="22" t="s">
        <v>16</v>
      </c>
      <c r="BK16" s="22" t="s">
        <v>19</v>
      </c>
      <c r="BL16" s="22" t="s">
        <v>5</v>
      </c>
      <c r="BM16" s="22" t="s">
        <v>15</v>
      </c>
      <c r="BN16" s="22" t="s">
        <v>7</v>
      </c>
      <c r="BO16" s="22" t="s">
        <v>8</v>
      </c>
      <c r="BP16" s="22" t="s">
        <v>9</v>
      </c>
      <c r="BQ16" s="22" t="s">
        <v>10</v>
      </c>
      <c r="BR16" s="22" t="s">
        <v>11</v>
      </c>
      <c r="BS16" s="22" t="s">
        <v>12</v>
      </c>
      <c r="BT16" s="22" t="s">
        <v>20</v>
      </c>
      <c r="BU16" s="22" t="s">
        <v>21</v>
      </c>
      <c r="BV16" s="22" t="s">
        <v>22</v>
      </c>
      <c r="BW16" s="22" t="s">
        <v>4</v>
      </c>
      <c r="BX16" s="22" t="s">
        <v>5</v>
      </c>
      <c r="BY16" s="22" t="s">
        <v>6</v>
      </c>
      <c r="BZ16" s="22" t="s">
        <v>17</v>
      </c>
      <c r="CA16" s="22" t="s">
        <v>23</v>
      </c>
      <c r="CB16" s="22" t="s">
        <v>18</v>
      </c>
      <c r="CC16" s="22" t="s">
        <v>24</v>
      </c>
      <c r="CD16" s="22" t="s">
        <v>11</v>
      </c>
      <c r="CE16" s="22" t="s">
        <v>12</v>
      </c>
      <c r="CF16" s="22" t="s">
        <v>13</v>
      </c>
      <c r="CG16" s="22" t="s">
        <v>14</v>
      </c>
      <c r="CH16" s="22" t="s">
        <v>16</v>
      </c>
      <c r="CI16" s="22" t="s">
        <v>4</v>
      </c>
      <c r="CJ16" s="22" t="s">
        <v>5</v>
      </c>
      <c r="CK16" s="22" t="s">
        <v>6</v>
      </c>
      <c r="CL16" s="22" t="s">
        <v>7</v>
      </c>
      <c r="CM16" s="22" t="s">
        <v>8</v>
      </c>
      <c r="CN16" s="22" t="s">
        <v>18</v>
      </c>
      <c r="CO16" s="22" t="s">
        <v>10</v>
      </c>
      <c r="CP16" s="22" t="s">
        <v>11</v>
      </c>
      <c r="CQ16" s="22" t="s">
        <v>12</v>
      </c>
      <c r="CR16" s="22" t="s">
        <v>20</v>
      </c>
      <c r="CS16" s="22" t="s">
        <v>14</v>
      </c>
      <c r="CT16" s="22" t="s">
        <v>22</v>
      </c>
      <c r="CU16" s="22" t="s">
        <v>19</v>
      </c>
      <c r="CV16" s="22" t="s">
        <v>5</v>
      </c>
      <c r="CW16" s="22" t="s">
        <v>15</v>
      </c>
      <c r="CX16" s="22" t="s">
        <v>7</v>
      </c>
      <c r="CY16" s="22" t="s">
        <v>23</v>
      </c>
      <c r="CZ16" s="22" t="s">
        <v>18</v>
      </c>
      <c r="DA16" s="22" t="s">
        <v>24</v>
      </c>
      <c r="DB16" s="22" t="s">
        <v>11</v>
      </c>
      <c r="DC16" s="22" t="s">
        <v>12</v>
      </c>
      <c r="DD16" s="22" t="s">
        <v>13</v>
      </c>
      <c r="DE16" s="22" t="s">
        <v>14</v>
      </c>
      <c r="DF16" s="22" t="s">
        <v>16</v>
      </c>
      <c r="DG16" s="22" t="s">
        <v>4</v>
      </c>
      <c r="DH16" s="22" t="s">
        <v>5</v>
      </c>
      <c r="DI16" s="22" t="s">
        <v>15</v>
      </c>
      <c r="DJ16" s="22" t="s">
        <v>7</v>
      </c>
      <c r="DK16" s="22" t="s">
        <v>8</v>
      </c>
      <c r="DL16" s="22" t="s">
        <v>18</v>
      </c>
      <c r="DM16" s="22" t="s">
        <v>24</v>
      </c>
      <c r="DN16" s="22" t="s">
        <v>11</v>
      </c>
      <c r="DO16" s="22" t="s">
        <v>12</v>
      </c>
      <c r="DP16" s="22" t="s">
        <v>20</v>
      </c>
      <c r="DQ16" s="22" t="s">
        <v>14</v>
      </c>
      <c r="DR16" s="22" t="s">
        <v>22</v>
      </c>
      <c r="DS16" s="22" t="s">
        <v>19</v>
      </c>
      <c r="DT16" s="22" t="s">
        <v>5</v>
      </c>
      <c r="DU16" s="22" t="s">
        <v>15</v>
      </c>
      <c r="DV16" s="22" t="s">
        <v>7</v>
      </c>
      <c r="DW16" s="22" t="s">
        <v>8</v>
      </c>
      <c r="DX16" s="22" t="s">
        <v>18</v>
      </c>
      <c r="DY16" s="22" t="s">
        <v>24</v>
      </c>
      <c r="DZ16" s="22" t="s">
        <v>11</v>
      </c>
      <c r="EA16" s="22" t="s">
        <v>12</v>
      </c>
      <c r="EB16" s="22" t="s">
        <v>20</v>
      </c>
      <c r="EC16" s="22" t="s">
        <v>21</v>
      </c>
      <c r="ED16" s="22" t="s">
        <v>22</v>
      </c>
      <c r="EE16" s="22" t="s">
        <v>4</v>
      </c>
      <c r="EF16" s="22" t="s">
        <v>5</v>
      </c>
      <c r="EG16" s="22" t="s">
        <v>15</v>
      </c>
      <c r="EH16" s="22" t="s">
        <v>17</v>
      </c>
      <c r="EI16" s="22" t="s">
        <v>23</v>
      </c>
      <c r="EJ16" s="22" t="s">
        <v>18</v>
      </c>
      <c r="EK16" s="22" t="s">
        <v>24</v>
      </c>
      <c r="EL16" s="22" t="s">
        <v>11</v>
      </c>
      <c r="EM16" s="22" t="s">
        <v>12</v>
      </c>
      <c r="EN16" s="22" t="s">
        <v>20</v>
      </c>
      <c r="EO16" s="22" t="s">
        <v>21</v>
      </c>
      <c r="EP16" s="22" t="s">
        <v>22</v>
      </c>
      <c r="EQ16" s="22" t="s">
        <v>4</v>
      </c>
      <c r="ER16" s="22" t="s">
        <v>5</v>
      </c>
      <c r="ES16" s="22" t="s">
        <v>6</v>
      </c>
      <c r="ET16" s="22" t="s">
        <v>17</v>
      </c>
      <c r="EU16" s="22" t="s">
        <v>8</v>
      </c>
      <c r="EV16" s="22" t="s">
        <v>18</v>
      </c>
      <c r="EW16" s="22" t="s">
        <v>24</v>
      </c>
      <c r="EX16" s="22" t="s">
        <v>11</v>
      </c>
      <c r="EY16" s="22" t="s">
        <v>12</v>
      </c>
      <c r="EZ16" s="22" t="s">
        <v>20</v>
      </c>
      <c r="FA16" s="22" t="s">
        <v>14</v>
      </c>
      <c r="FB16" s="22" t="s">
        <v>22</v>
      </c>
      <c r="FC16" s="22" t="s">
        <v>4</v>
      </c>
      <c r="FD16" s="22" t="s">
        <v>5</v>
      </c>
      <c r="FE16" s="22" t="s">
        <v>6</v>
      </c>
      <c r="FF16" s="22" t="s">
        <v>7</v>
      </c>
      <c r="FG16" s="22" t="s">
        <v>8</v>
      </c>
      <c r="FH16" s="22" t="s">
        <v>9</v>
      </c>
      <c r="FI16" s="22" t="s">
        <v>24</v>
      </c>
      <c r="FJ16" s="22" t="s">
        <v>11</v>
      </c>
      <c r="FK16" s="22" t="s">
        <v>12</v>
      </c>
      <c r="FL16" s="22" t="s">
        <v>20</v>
      </c>
      <c r="FM16" s="22" t="s">
        <v>14</v>
      </c>
      <c r="FN16" s="22" t="s">
        <v>22</v>
      </c>
      <c r="FO16" s="22" t="s">
        <v>19</v>
      </c>
      <c r="FP16" s="22" t="s">
        <v>27</v>
      </c>
      <c r="FQ16" s="22" t="s">
        <v>15</v>
      </c>
      <c r="FR16" s="22" t="s">
        <v>7</v>
      </c>
      <c r="FS16" s="22" t="s">
        <v>8</v>
      </c>
      <c r="FT16" s="22" t="s">
        <v>9</v>
      </c>
      <c r="FU16" s="22" t="s">
        <v>10</v>
      </c>
      <c r="FV16" s="22" t="s">
        <v>11</v>
      </c>
      <c r="FW16" s="22" t="s">
        <v>12</v>
      </c>
      <c r="FX16" s="22" t="s">
        <v>20</v>
      </c>
      <c r="FY16" s="22" t="s">
        <v>14</v>
      </c>
      <c r="FZ16" s="22" t="s">
        <v>16</v>
      </c>
      <c r="GA16" s="22" t="s">
        <v>19</v>
      </c>
      <c r="GB16" s="22" t="s">
        <v>5</v>
      </c>
      <c r="GC16" s="22" t="s">
        <v>6</v>
      </c>
      <c r="GD16" s="22" t="s">
        <v>7</v>
      </c>
      <c r="GE16" s="22" t="s">
        <v>8</v>
      </c>
      <c r="GF16" s="22" t="s">
        <v>18</v>
      </c>
      <c r="GG16" s="22" t="s">
        <v>24</v>
      </c>
      <c r="GH16" s="22" t="s">
        <v>11</v>
      </c>
      <c r="GI16" s="22" t="s">
        <v>12</v>
      </c>
      <c r="GJ16" s="22" t="s">
        <v>13</v>
      </c>
      <c r="GK16" s="22" t="s">
        <v>14</v>
      </c>
      <c r="GL16" s="22" t="s">
        <v>22</v>
      </c>
      <c r="GM16" s="22" t="s">
        <v>4</v>
      </c>
      <c r="GN16" s="22" t="s">
        <v>5</v>
      </c>
      <c r="GO16" s="22" t="s">
        <v>6</v>
      </c>
      <c r="GP16" s="22" t="s">
        <v>7</v>
      </c>
      <c r="GQ16" s="22" t="s">
        <v>8</v>
      </c>
      <c r="GR16" s="22" t="s">
        <v>18</v>
      </c>
      <c r="GV16" s="20" t="s">
        <v>3</v>
      </c>
      <c r="GW16" s="21" t="s">
        <v>4</v>
      </c>
      <c r="GX16" s="20" t="s">
        <v>5</v>
      </c>
      <c r="GY16" s="20" t="s">
        <v>6</v>
      </c>
      <c r="GZ16" s="20" t="s">
        <v>7</v>
      </c>
      <c r="HA16" s="20" t="s">
        <v>8</v>
      </c>
      <c r="HB16" s="20" t="s">
        <v>9</v>
      </c>
      <c r="HC16" s="20" t="s">
        <v>10</v>
      </c>
      <c r="HD16" s="20" t="s">
        <v>11</v>
      </c>
      <c r="HE16" s="20" t="s">
        <v>12</v>
      </c>
      <c r="HF16" s="20" t="s">
        <v>13</v>
      </c>
      <c r="HG16" s="20" t="s">
        <v>14</v>
      </c>
      <c r="HH16" s="20" t="s">
        <v>3</v>
      </c>
      <c r="HI16" s="20" t="s">
        <v>4</v>
      </c>
      <c r="HJ16" s="20" t="s">
        <v>5</v>
      </c>
      <c r="HK16" s="20" t="s">
        <v>15</v>
      </c>
      <c r="HL16" s="22" t="s">
        <v>7</v>
      </c>
      <c r="HM16" s="22" t="s">
        <v>8</v>
      </c>
      <c r="HN16" s="22" t="s">
        <v>9</v>
      </c>
      <c r="HO16" s="22" t="s">
        <v>10</v>
      </c>
      <c r="HP16" s="22" t="s">
        <v>11</v>
      </c>
      <c r="HQ16" s="22" t="s">
        <v>12</v>
      </c>
      <c r="HR16" s="22" t="s">
        <v>13</v>
      </c>
      <c r="HS16" s="22" t="s">
        <v>14</v>
      </c>
      <c r="HT16" s="22" t="s">
        <v>16</v>
      </c>
      <c r="HU16" s="22" t="s">
        <v>4</v>
      </c>
      <c r="HV16" s="22" t="s">
        <v>5</v>
      </c>
      <c r="HW16" s="22" t="s">
        <v>6</v>
      </c>
      <c r="HX16" s="22" t="s">
        <v>17</v>
      </c>
      <c r="HY16" s="22" t="s">
        <v>8</v>
      </c>
      <c r="HZ16" s="22" t="s">
        <v>18</v>
      </c>
      <c r="IA16" s="22" t="s">
        <v>10</v>
      </c>
      <c r="IB16" s="22" t="s">
        <v>11</v>
      </c>
      <c r="IC16" s="22" t="s">
        <v>12</v>
      </c>
      <c r="ID16" s="22" t="s">
        <v>13</v>
      </c>
      <c r="IE16" s="22" t="s">
        <v>26</v>
      </c>
      <c r="IF16" s="22" t="s">
        <v>16</v>
      </c>
      <c r="IG16" s="22" t="s">
        <v>4</v>
      </c>
      <c r="IH16" s="22" t="s">
        <v>5</v>
      </c>
      <c r="II16" s="22" t="s">
        <v>6</v>
      </c>
      <c r="IJ16" s="22" t="s">
        <v>7</v>
      </c>
      <c r="IK16" s="22" t="s">
        <v>8</v>
      </c>
      <c r="IL16" s="22" t="s">
        <v>18</v>
      </c>
      <c r="IM16" s="22" t="s">
        <v>10</v>
      </c>
      <c r="IN16" s="22" t="s">
        <v>11</v>
      </c>
      <c r="IO16" s="22" t="s">
        <v>12</v>
      </c>
      <c r="IP16" s="22" t="s">
        <v>13</v>
      </c>
      <c r="IQ16" s="22" t="s">
        <v>14</v>
      </c>
      <c r="IR16" s="22" t="s">
        <v>3</v>
      </c>
      <c r="IS16" s="22" t="s">
        <v>4</v>
      </c>
      <c r="IT16" s="22" t="s">
        <v>5</v>
      </c>
      <c r="IU16" s="22" t="s">
        <v>15</v>
      </c>
      <c r="IV16" s="22" t="s">
        <v>7</v>
      </c>
      <c r="IW16" s="22" t="s">
        <v>8</v>
      </c>
      <c r="IX16" s="22" t="s">
        <v>9</v>
      </c>
      <c r="IY16" s="22" t="s">
        <v>10</v>
      </c>
      <c r="IZ16" s="22" t="s">
        <v>11</v>
      </c>
      <c r="JA16" s="22" t="s">
        <v>12</v>
      </c>
      <c r="JB16" s="22" t="s">
        <v>20</v>
      </c>
      <c r="JC16" s="22" t="s">
        <v>21</v>
      </c>
      <c r="JD16" s="22" t="s">
        <v>16</v>
      </c>
      <c r="JE16" s="22" t="s">
        <v>4</v>
      </c>
      <c r="JF16" s="22" t="s">
        <v>5</v>
      </c>
      <c r="JG16" s="22" t="s">
        <v>6</v>
      </c>
      <c r="JH16" s="22" t="s">
        <v>7</v>
      </c>
      <c r="JI16" s="22" t="s">
        <v>8</v>
      </c>
      <c r="JJ16" s="22" t="s">
        <v>9</v>
      </c>
      <c r="JK16" s="22" t="s">
        <v>10</v>
      </c>
      <c r="JL16" s="22" t="s">
        <v>11</v>
      </c>
      <c r="JM16" s="22" t="s">
        <v>12</v>
      </c>
      <c r="JN16" s="22" t="s">
        <v>20</v>
      </c>
      <c r="JO16" s="22" t="s">
        <v>21</v>
      </c>
      <c r="JP16" s="22" t="s">
        <v>22</v>
      </c>
      <c r="JQ16" s="22" t="s">
        <v>4</v>
      </c>
      <c r="JR16" s="22" t="s">
        <v>5</v>
      </c>
      <c r="JS16" s="22" t="s">
        <v>6</v>
      </c>
      <c r="JT16" s="22" t="s">
        <v>17</v>
      </c>
      <c r="JU16" s="22" t="s">
        <v>23</v>
      </c>
      <c r="JV16" s="22" t="s">
        <v>18</v>
      </c>
      <c r="JW16" s="22" t="s">
        <v>24</v>
      </c>
      <c r="JX16" s="22" t="s">
        <v>11</v>
      </c>
      <c r="JY16" s="22" t="s">
        <v>12</v>
      </c>
      <c r="JZ16" s="22" t="s">
        <v>13</v>
      </c>
      <c r="KA16" s="22" t="s">
        <v>14</v>
      </c>
      <c r="KB16" s="22" t="s">
        <v>22</v>
      </c>
      <c r="KC16" s="22" t="s">
        <v>4</v>
      </c>
      <c r="KD16" s="22" t="s">
        <v>5</v>
      </c>
      <c r="KE16" s="22" t="s">
        <v>6</v>
      </c>
      <c r="KF16" s="22" t="s">
        <v>17</v>
      </c>
      <c r="KG16" s="22" t="s">
        <v>8</v>
      </c>
      <c r="KH16" s="22" t="s">
        <v>18</v>
      </c>
      <c r="KI16" s="22" t="s">
        <v>10</v>
      </c>
      <c r="KJ16" s="22" t="s">
        <v>11</v>
      </c>
      <c r="KK16" s="22" t="s">
        <v>12</v>
      </c>
      <c r="KL16" s="22" t="s">
        <v>20</v>
      </c>
      <c r="KM16" s="22" t="s">
        <v>21</v>
      </c>
      <c r="KN16" s="22" t="s">
        <v>16</v>
      </c>
      <c r="KO16" s="22" t="s">
        <v>19</v>
      </c>
      <c r="KP16" s="22" t="s">
        <v>5</v>
      </c>
      <c r="KQ16" s="22" t="s">
        <v>6</v>
      </c>
      <c r="KR16" s="22" t="s">
        <v>7</v>
      </c>
      <c r="KS16" s="22" t="s">
        <v>8</v>
      </c>
      <c r="KT16" s="22" t="s">
        <v>18</v>
      </c>
      <c r="KU16" s="22" t="s">
        <v>24</v>
      </c>
      <c r="KV16" s="22" t="s">
        <v>11</v>
      </c>
      <c r="KW16" s="22" t="s">
        <v>12</v>
      </c>
      <c r="KX16" s="22" t="s">
        <v>20</v>
      </c>
      <c r="KY16" s="22" t="s">
        <v>14</v>
      </c>
      <c r="KZ16" s="22" t="s">
        <v>16</v>
      </c>
      <c r="LA16" s="22" t="s">
        <v>4</v>
      </c>
      <c r="LB16" s="22" t="s">
        <v>27</v>
      </c>
      <c r="LC16" s="22" t="s">
        <v>6</v>
      </c>
      <c r="LD16" s="22" t="s">
        <v>7</v>
      </c>
      <c r="LE16" s="22" t="s">
        <v>8</v>
      </c>
      <c r="LF16" s="22" t="s">
        <v>9</v>
      </c>
      <c r="LG16" s="22" t="s">
        <v>24</v>
      </c>
      <c r="LH16" s="22" t="s">
        <v>11</v>
      </c>
      <c r="LI16" s="22" t="s">
        <v>12</v>
      </c>
      <c r="LJ16" s="22" t="s">
        <v>20</v>
      </c>
      <c r="LK16" s="22" t="s">
        <v>14</v>
      </c>
      <c r="LL16" s="22" t="s">
        <v>22</v>
      </c>
      <c r="LM16" s="22" t="s">
        <v>19</v>
      </c>
      <c r="LN16" s="22" t="s">
        <v>5</v>
      </c>
      <c r="LO16" s="22" t="s">
        <v>15</v>
      </c>
      <c r="LP16" s="22" t="s">
        <v>7</v>
      </c>
      <c r="LQ16" s="22" t="s">
        <v>8</v>
      </c>
      <c r="LR16" s="22" t="s">
        <v>18</v>
      </c>
      <c r="LS16" s="22" t="s">
        <v>10</v>
      </c>
      <c r="LT16" s="22" t="s">
        <v>11</v>
      </c>
      <c r="LU16" s="22" t="s">
        <v>12</v>
      </c>
      <c r="LV16" s="22" t="s">
        <v>13</v>
      </c>
      <c r="LW16" s="22" t="s">
        <v>14</v>
      </c>
      <c r="LX16" s="22" t="s">
        <v>22</v>
      </c>
      <c r="LY16" s="22" t="s">
        <v>4</v>
      </c>
      <c r="LZ16" s="22" t="s">
        <v>5</v>
      </c>
      <c r="MA16" s="22" t="s">
        <v>6</v>
      </c>
      <c r="MB16" s="22" t="s">
        <v>17</v>
      </c>
      <c r="MC16" s="22" t="s">
        <v>8</v>
      </c>
      <c r="MD16" s="22" t="s">
        <v>18</v>
      </c>
      <c r="ME16" s="22" t="s">
        <v>24</v>
      </c>
      <c r="MF16" s="22" t="s">
        <v>11</v>
      </c>
      <c r="MG16" s="22" t="s">
        <v>101</v>
      </c>
      <c r="MH16" s="22" t="s">
        <v>20</v>
      </c>
      <c r="MI16" s="22" t="s">
        <v>14</v>
      </c>
      <c r="MJ16" s="22" t="s">
        <v>22</v>
      </c>
      <c r="MK16" s="22" t="s">
        <v>4</v>
      </c>
      <c r="ML16" s="22" t="s">
        <v>5</v>
      </c>
      <c r="MM16" s="22" t="s">
        <v>6</v>
      </c>
      <c r="MN16" s="22" t="s">
        <v>17</v>
      </c>
      <c r="MO16" s="22" t="s">
        <v>8</v>
      </c>
      <c r="MP16" s="22" t="s">
        <v>18</v>
      </c>
      <c r="MQ16" s="22" t="s">
        <v>24</v>
      </c>
      <c r="MR16" s="22" t="s">
        <v>11</v>
      </c>
      <c r="MS16" s="22" t="s">
        <v>12</v>
      </c>
      <c r="MT16" s="22" t="s">
        <v>20</v>
      </c>
      <c r="MU16" s="22" t="s">
        <v>14</v>
      </c>
      <c r="MV16" s="22" t="s">
        <v>22</v>
      </c>
      <c r="MW16" s="22" t="s">
        <v>4</v>
      </c>
      <c r="MX16" s="22" t="s">
        <v>5</v>
      </c>
      <c r="MY16" s="22" t="s">
        <v>15</v>
      </c>
      <c r="MZ16" s="22" t="s">
        <v>7</v>
      </c>
      <c r="NA16" s="22" t="s">
        <v>8</v>
      </c>
      <c r="NB16" s="22" t="s">
        <v>18</v>
      </c>
      <c r="NC16" s="22" t="s">
        <v>24</v>
      </c>
      <c r="ND16" s="22" t="s">
        <v>11</v>
      </c>
      <c r="NE16" s="22" t="s">
        <v>12</v>
      </c>
      <c r="NF16" s="22" t="s">
        <v>20</v>
      </c>
      <c r="NG16" s="22" t="s">
        <v>14</v>
      </c>
      <c r="NH16" s="22" t="s">
        <v>22</v>
      </c>
      <c r="NI16" s="22" t="s">
        <v>19</v>
      </c>
      <c r="NJ16" s="22" t="s">
        <v>27</v>
      </c>
      <c r="NK16" s="22" t="s">
        <v>6</v>
      </c>
      <c r="NL16" s="22" t="s">
        <v>7</v>
      </c>
      <c r="NM16" s="22" t="s">
        <v>8</v>
      </c>
      <c r="NN16" s="22" t="s">
        <v>9</v>
      </c>
      <c r="NO16" s="22" t="s">
        <v>10</v>
      </c>
      <c r="NP16" s="22" t="s">
        <v>11</v>
      </c>
      <c r="NQ16" s="22" t="s">
        <v>12</v>
      </c>
      <c r="NR16" s="22" t="s">
        <v>20</v>
      </c>
      <c r="NS16" s="22" t="s">
        <v>14</v>
      </c>
      <c r="NT16" s="22" t="s">
        <v>16</v>
      </c>
      <c r="NU16" s="22" t="s">
        <v>19</v>
      </c>
      <c r="NV16" s="22" t="s">
        <v>5</v>
      </c>
      <c r="NW16" s="22" t="s">
        <v>6</v>
      </c>
      <c r="NX16" s="22" t="s">
        <v>7</v>
      </c>
      <c r="NY16" s="22" t="s">
        <v>8</v>
      </c>
      <c r="NZ16" s="22" t="s">
        <v>18</v>
      </c>
      <c r="OA16" s="22" t="s">
        <v>24</v>
      </c>
      <c r="OB16" s="22" t="s">
        <v>11</v>
      </c>
      <c r="OC16" s="22" t="s">
        <v>12</v>
      </c>
      <c r="OD16" s="22" t="s">
        <v>13</v>
      </c>
      <c r="OE16" s="22" t="s">
        <v>14</v>
      </c>
      <c r="OF16" s="22" t="s">
        <v>16</v>
      </c>
      <c r="OG16" s="22" t="s">
        <v>4</v>
      </c>
      <c r="OH16" s="22" t="s">
        <v>5</v>
      </c>
      <c r="OI16" s="22" t="s">
        <v>15</v>
      </c>
      <c r="OJ16" s="22" t="s">
        <v>7</v>
      </c>
      <c r="OK16" s="22" t="s">
        <v>8</v>
      </c>
      <c r="OL16" s="22" t="s">
        <v>18</v>
      </c>
    </row>
    <row r="17" spans="1:402" s="149" customFormat="1" ht="14.25" customHeight="1" x14ac:dyDescent="0.35">
      <c r="A17" s="147"/>
      <c r="B17" s="149">
        <f>'[1]Sept 07'!H45</f>
        <v>0.90667454223272292</v>
      </c>
      <c r="C17" s="149">
        <f>'[1]Oct 07'!H45</f>
        <v>0.91540014714749596</v>
      </c>
      <c r="D17" s="149">
        <f>'[1]Nov 07'!H45</f>
        <v>0.93450138793540882</v>
      </c>
      <c r="E17" s="149">
        <f>'[1]Dec 07'!H45</f>
        <v>0.94018620491609195</v>
      </c>
      <c r="F17" s="149">
        <f>'[1]Jan 08'!H45</f>
        <v>0.9366589807296456</v>
      </c>
      <c r="G17" s="149">
        <f>'[1]Feb 08'!H45</f>
        <v>0.93579829788382574</v>
      </c>
      <c r="H17" s="149">
        <f>'[1]Mar 08'!H45</f>
        <v>0.92978559170080566</v>
      </c>
      <c r="I17" s="149">
        <v>0.92218955319534068</v>
      </c>
      <c r="J17" s="149">
        <f>'[1]May 08'!H45</f>
        <v>0.92920288818684005</v>
      </c>
      <c r="K17" s="149">
        <v>0.93600000000000005</v>
      </c>
      <c r="L17" s="149">
        <f>'[1]Jul 08'!H45</f>
        <v>0.92675707761611958</v>
      </c>
      <c r="M17" s="149">
        <f>'[1]Aug 08'!H45</f>
        <v>0.92771177784216796</v>
      </c>
      <c r="N17" s="149">
        <v>0.94799999999999995</v>
      </c>
      <c r="O17" s="149">
        <v>0.92100000000000004</v>
      </c>
      <c r="P17" s="149">
        <v>0.91200000000000003</v>
      </c>
      <c r="Q17" s="149">
        <v>0.91900000000000004</v>
      </c>
      <c r="R17" s="149">
        <v>0.9</v>
      </c>
      <c r="S17" s="149">
        <v>0.92200000000000004</v>
      </c>
      <c r="T17" s="149">
        <v>0.89500000000000002</v>
      </c>
      <c r="U17" s="149">
        <v>0.92</v>
      </c>
      <c r="V17" s="149">
        <v>0.91600000000000004</v>
      </c>
      <c r="W17" s="149">
        <v>0.93300000000000005</v>
      </c>
      <c r="X17" s="149">
        <v>0.90400000000000003</v>
      </c>
      <c r="Y17" s="149">
        <v>0.92200000000000004</v>
      </c>
      <c r="Z17" s="149">
        <f>506233/539620</f>
        <v>0.93812868314740006</v>
      </c>
      <c r="AA17" s="149">
        <v>0.93700000000000006</v>
      </c>
      <c r="AB17" s="149">
        <v>0.94</v>
      </c>
      <c r="AC17" s="149">
        <v>0.91900000000000004</v>
      </c>
      <c r="AD17" s="149">
        <v>0.90400000000000003</v>
      </c>
      <c r="AE17" s="149">
        <f>579314/628858</f>
        <v>0.92121591837902994</v>
      </c>
      <c r="AF17" s="148" t="s">
        <v>37</v>
      </c>
      <c r="AG17" s="146">
        <v>0.92700000000000005</v>
      </c>
      <c r="AH17" s="146">
        <v>0.92900000000000005</v>
      </c>
      <c r="AI17" s="146">
        <v>0.92300000000000004</v>
      </c>
      <c r="AJ17" s="146">
        <v>0.92500000000000004</v>
      </c>
      <c r="AK17" s="146">
        <v>0.93400000000000005</v>
      </c>
      <c r="AL17" s="146">
        <v>0.92800000000000005</v>
      </c>
      <c r="AM17" s="146">
        <v>0.93300000000000005</v>
      </c>
      <c r="AN17" s="146">
        <v>0.93100000000000005</v>
      </c>
      <c r="AO17" s="146">
        <v>0.93600000000000005</v>
      </c>
      <c r="AP17" s="146">
        <v>0.92600000000000005</v>
      </c>
      <c r="AQ17" s="146">
        <v>0.92500000000000004</v>
      </c>
      <c r="AR17" s="146">
        <v>0.93500000000000005</v>
      </c>
      <c r="AS17" s="146">
        <v>0.93700000000000006</v>
      </c>
      <c r="AT17" s="146">
        <v>0.93200000000000005</v>
      </c>
      <c r="AU17" s="146">
        <v>0.93100000000000005</v>
      </c>
      <c r="AV17" s="146">
        <v>0.93799999999999994</v>
      </c>
      <c r="AW17" s="146">
        <f>448242/480533</f>
        <v>0.93280170144402152</v>
      </c>
      <c r="AX17" s="146">
        <v>0.93700000000000006</v>
      </c>
      <c r="AY17" s="146">
        <v>0.94</v>
      </c>
      <c r="AZ17" s="146">
        <v>0.94699999999999995</v>
      </c>
      <c r="BA17" s="146">
        <v>0.94499999999999995</v>
      </c>
      <c r="BB17" s="146">
        <v>0.94099999999999995</v>
      </c>
      <c r="BC17" s="146">
        <v>0.95699999999999996</v>
      </c>
      <c r="BD17" s="146">
        <v>0.91500000000000004</v>
      </c>
      <c r="BE17" s="146">
        <v>0.95099999999999996</v>
      </c>
      <c r="BF17" s="146">
        <v>0.94299999999999995</v>
      </c>
      <c r="BG17" s="146">
        <v>0.95499999999999996</v>
      </c>
      <c r="BH17" s="146">
        <v>0.96099999999999997</v>
      </c>
      <c r="BI17" s="146">
        <v>0.95399999999999996</v>
      </c>
      <c r="BJ17" s="146">
        <v>0.95499999999999996</v>
      </c>
      <c r="BK17" s="146">
        <v>0.95899999999999996</v>
      </c>
      <c r="BL17" s="146">
        <v>0.95399999999999996</v>
      </c>
      <c r="BM17" s="146">
        <v>0.95399999999999996</v>
      </c>
      <c r="BN17" s="146">
        <v>0.95899999999999996</v>
      </c>
      <c r="BO17" s="146">
        <v>0.95799999999999996</v>
      </c>
      <c r="BP17" s="146">
        <v>0.95699999999999996</v>
      </c>
      <c r="BQ17" s="146">
        <v>0.95899999999999996</v>
      </c>
      <c r="BR17" s="146">
        <v>0.96199999999999997</v>
      </c>
      <c r="BS17" s="146">
        <v>0.96499999999999997</v>
      </c>
      <c r="BT17" s="146">
        <v>0.96399999999999997</v>
      </c>
      <c r="BU17" s="146">
        <v>0.96399999999999997</v>
      </c>
      <c r="BV17" s="146">
        <v>0.96499999999999997</v>
      </c>
      <c r="BW17" s="146">
        <v>0.95199999999999996</v>
      </c>
      <c r="BX17" s="146">
        <v>0.96199999999999997</v>
      </c>
      <c r="BY17" s="146">
        <v>0.95699999999999996</v>
      </c>
      <c r="BZ17" s="146">
        <v>0.95899999999999996</v>
      </c>
      <c r="CA17" s="146">
        <v>0.95599999999999996</v>
      </c>
      <c r="CB17" s="146">
        <v>0.95699999999999996</v>
      </c>
      <c r="CC17" s="146">
        <v>0.95199999999999996</v>
      </c>
      <c r="CD17" s="146">
        <v>0.95399999999999996</v>
      </c>
      <c r="CE17" s="146">
        <v>0.95399999999999996</v>
      </c>
      <c r="CF17" s="146">
        <v>0.96299999999999997</v>
      </c>
      <c r="CG17" s="146">
        <v>0.95899999999999996</v>
      </c>
      <c r="CH17" s="146">
        <v>0.94899999999999995</v>
      </c>
      <c r="CI17" s="146">
        <v>0.96099999999999997</v>
      </c>
      <c r="CJ17" s="146">
        <v>0.95799999999999996</v>
      </c>
      <c r="CK17" s="146">
        <v>0.95299999999999996</v>
      </c>
      <c r="CL17" s="146">
        <v>0.95</v>
      </c>
      <c r="CM17" s="146">
        <v>0.95599999999999996</v>
      </c>
      <c r="CN17" s="146">
        <v>0.95799999999999996</v>
      </c>
      <c r="CO17" s="146">
        <v>0.95099999999999996</v>
      </c>
      <c r="CP17" s="146">
        <v>0.96099999999999997</v>
      </c>
      <c r="CQ17" s="146">
        <v>0.95699999999999996</v>
      </c>
      <c r="CR17" s="146">
        <v>0.95799999999999996</v>
      </c>
      <c r="CS17" s="146">
        <v>0.95799999999999996</v>
      </c>
      <c r="CT17" s="146">
        <v>0.96299999999999997</v>
      </c>
      <c r="CU17" s="146">
        <v>0.95499999999999996</v>
      </c>
      <c r="CV17" s="146">
        <v>0.95299999999999996</v>
      </c>
      <c r="CW17" s="146">
        <v>0.96399999999999997</v>
      </c>
      <c r="CX17" s="146">
        <v>0.96</v>
      </c>
      <c r="CY17" s="146">
        <v>0.96099999999999997</v>
      </c>
      <c r="CZ17" s="146">
        <v>0.95299999999999996</v>
      </c>
      <c r="DA17" s="146">
        <v>0.96899999999999997</v>
      </c>
      <c r="DB17" s="146">
        <v>0.95499999999999996</v>
      </c>
      <c r="DC17" s="146">
        <v>0.96199999999999997</v>
      </c>
      <c r="DD17" s="146">
        <v>0.95299999999999996</v>
      </c>
      <c r="DE17" s="146">
        <v>0.95599999999999996</v>
      </c>
      <c r="DF17" s="146">
        <v>0.96399999999999997</v>
      </c>
      <c r="DG17" s="146">
        <v>0.96099999999999997</v>
      </c>
      <c r="DH17" s="146">
        <v>0.96499999999999997</v>
      </c>
      <c r="DI17" s="146">
        <v>0.97099999999999997</v>
      </c>
      <c r="DJ17" s="146">
        <v>0.95899999999999996</v>
      </c>
      <c r="DK17" s="146">
        <v>0.92200000000000004</v>
      </c>
      <c r="DL17" s="146">
        <v>0.96</v>
      </c>
      <c r="DM17" s="146">
        <v>0.95699999999999996</v>
      </c>
      <c r="DN17" s="146">
        <v>0.95599999999999996</v>
      </c>
      <c r="DO17" s="146">
        <v>0.95799999999999996</v>
      </c>
      <c r="DP17" s="146">
        <v>0.96199999999999997</v>
      </c>
      <c r="DQ17" s="146">
        <v>0.96199999999999997</v>
      </c>
      <c r="DR17" s="146">
        <v>0.95599999999999996</v>
      </c>
      <c r="DS17" s="146">
        <v>0.96699999999999997</v>
      </c>
      <c r="DT17" s="146">
        <v>0.95899999999999996</v>
      </c>
      <c r="DU17" s="146">
        <v>0.95799999999999996</v>
      </c>
      <c r="DV17" s="146">
        <v>0.95799999999999996</v>
      </c>
      <c r="DW17" s="146">
        <v>0.96599999999999997</v>
      </c>
      <c r="DX17" s="146">
        <v>0.95499999999999996</v>
      </c>
      <c r="DY17" s="146">
        <v>0.96299999999999997</v>
      </c>
      <c r="DZ17" s="146">
        <v>0.95799999999999996</v>
      </c>
      <c r="EA17" s="146">
        <v>0.96099999999999997</v>
      </c>
      <c r="EB17" s="146">
        <v>0.96199999999999997</v>
      </c>
      <c r="EC17" s="146">
        <v>0.95699999999999996</v>
      </c>
      <c r="ED17" s="146">
        <v>0.96299999999999997</v>
      </c>
      <c r="EE17" s="146">
        <v>0.96399999999999997</v>
      </c>
      <c r="EF17" s="146">
        <v>0.96399999999999997</v>
      </c>
      <c r="EG17" s="146">
        <v>0.96299999999999997</v>
      </c>
      <c r="EH17" s="146">
        <v>0.96099999999999997</v>
      </c>
      <c r="EI17" s="146">
        <v>0.94499999999999995</v>
      </c>
      <c r="EJ17" s="146">
        <v>0.96299999999999997</v>
      </c>
      <c r="EK17" s="146">
        <v>0.96299999999999997</v>
      </c>
      <c r="EL17" s="146">
        <v>0.96399999999999997</v>
      </c>
      <c r="EM17" s="146">
        <v>0.96399999999999997</v>
      </c>
      <c r="EN17" s="146">
        <v>0.96299999999999997</v>
      </c>
      <c r="EO17" s="146">
        <v>0.96599999999999997</v>
      </c>
      <c r="EP17" s="146">
        <v>0.97099999999999997</v>
      </c>
      <c r="EQ17" s="146">
        <v>0.96299999999999997</v>
      </c>
      <c r="ER17" s="146">
        <v>0.96399999999999997</v>
      </c>
      <c r="ES17" s="146">
        <v>0.96399999999999997</v>
      </c>
      <c r="ET17" s="146">
        <v>0.96799999999999997</v>
      </c>
      <c r="EU17" s="146">
        <v>0.96799999999999997</v>
      </c>
      <c r="EV17" s="146">
        <v>0.97</v>
      </c>
      <c r="EW17" s="146">
        <v>0.96199999999999997</v>
      </c>
      <c r="EX17" s="146">
        <v>0.96899999999999997</v>
      </c>
      <c r="EY17" s="146">
        <v>0.96599999999999997</v>
      </c>
      <c r="EZ17" s="146">
        <v>0.96599999999999997</v>
      </c>
      <c r="FA17" s="146">
        <v>0.96899999999999997</v>
      </c>
      <c r="FB17" s="146">
        <v>0.97699999999999998</v>
      </c>
      <c r="FC17" s="146">
        <v>0.96099999999999997</v>
      </c>
      <c r="FD17" s="146">
        <v>0.97299999999999998</v>
      </c>
      <c r="FE17" s="146">
        <v>0.97499999999999998</v>
      </c>
      <c r="FF17" s="146">
        <v>0.97399999999999998</v>
      </c>
      <c r="FG17" s="146">
        <v>0.96699999999999997</v>
      </c>
      <c r="FH17" s="146">
        <v>0.99199999999999999</v>
      </c>
      <c r="FI17" s="146">
        <v>1.002</v>
      </c>
      <c r="FJ17" s="146">
        <v>0.999</v>
      </c>
      <c r="FK17" s="146">
        <v>0.998</v>
      </c>
      <c r="FL17" s="146">
        <v>0.995</v>
      </c>
      <c r="FM17" s="146">
        <v>0.98699999999999999</v>
      </c>
      <c r="FN17" s="146">
        <v>0.98699999999999999</v>
      </c>
      <c r="FO17" s="146">
        <v>0.98499999999999999</v>
      </c>
      <c r="FP17" s="146">
        <v>0.996</v>
      </c>
      <c r="FQ17" s="146">
        <v>0.99299999999999999</v>
      </c>
      <c r="FR17" s="146">
        <v>0.98899999999999999</v>
      </c>
      <c r="FS17" s="146">
        <v>1.0169999999999999</v>
      </c>
      <c r="FT17" s="146">
        <v>1.02</v>
      </c>
      <c r="FU17" s="146">
        <v>1.0269999999999999</v>
      </c>
      <c r="FV17" s="146">
        <v>1.016</v>
      </c>
      <c r="FW17" s="146">
        <v>1.2470000000000001</v>
      </c>
      <c r="FX17" s="146">
        <v>0.97499999999999998</v>
      </c>
      <c r="FY17" s="146">
        <v>0.94799999999999995</v>
      </c>
      <c r="FZ17" s="146">
        <v>0.96899999999999997</v>
      </c>
      <c r="GA17" s="146">
        <v>0.95299999999999996</v>
      </c>
      <c r="GB17" s="146">
        <v>0.96399999999999997</v>
      </c>
      <c r="GC17" s="146">
        <v>0.94699999999999995</v>
      </c>
      <c r="GD17" s="146">
        <v>0.95599999999999996</v>
      </c>
      <c r="GE17" s="146">
        <v>0.96</v>
      </c>
      <c r="GF17" s="146">
        <v>0.95899999999999996</v>
      </c>
      <c r="GG17" s="146">
        <v>0.95799999999999996</v>
      </c>
      <c r="GH17" s="146">
        <v>0.95899999999999996</v>
      </c>
      <c r="GI17" s="146">
        <v>0.97</v>
      </c>
      <c r="GJ17" s="146">
        <v>0.97</v>
      </c>
      <c r="GK17" s="146">
        <v>0.95399999999999996</v>
      </c>
      <c r="GL17" s="146">
        <v>0.97099999999999997</v>
      </c>
      <c r="GM17" s="146">
        <v>0.97</v>
      </c>
      <c r="GN17" s="146">
        <v>0.95899999999999996</v>
      </c>
      <c r="GO17" s="146">
        <v>0.96</v>
      </c>
      <c r="GP17" s="146">
        <v>0.96699999999999997</v>
      </c>
      <c r="GQ17" s="146">
        <v>0.97699999999999998</v>
      </c>
      <c r="GR17" s="146">
        <v>0.96799999999999997</v>
      </c>
      <c r="GS17" s="150"/>
      <c r="GT17" s="150"/>
      <c r="GU17" s="150"/>
      <c r="GV17" s="149">
        <f>'[1]Sept 07'!H47</f>
        <v>4.7061951608614733E-2</v>
      </c>
      <c r="GW17" s="149">
        <f>'[1]Oct 07'!H47</f>
        <v>6.0887512899896801E-2</v>
      </c>
      <c r="GX17" s="149">
        <f>'[1]Nov 07'!H47</f>
        <v>4.2531645569620254E-2</v>
      </c>
      <c r="GY17" s="149">
        <f>'[1]Dec 07'!H47</f>
        <v>5.0761421319796954E-2</v>
      </c>
      <c r="GZ17" s="149">
        <f>'[1]Jan 08'!H47</f>
        <v>4.5016851227732309E-2</v>
      </c>
      <c r="HA17" s="149">
        <f>'[1]Feb 08'!H47</f>
        <v>5.3361542078044194E-2</v>
      </c>
      <c r="HB17" s="149">
        <f>'[1]Mar 08'!H47</f>
        <v>5.7156133828996279E-2</v>
      </c>
      <c r="HC17" s="149">
        <v>6.3544363379618732E-2</v>
      </c>
      <c r="HD17" s="149">
        <f>'[1]May 08'!H47</f>
        <v>7.3837066207236027E-2</v>
      </c>
      <c r="HE17" s="149">
        <f>'[1]Jun 08'!H47</f>
        <v>8.145140827201218E-2</v>
      </c>
      <c r="HF17" s="149">
        <f>'[1]Jul 08'!H47</f>
        <v>7.3863636363636367E-2</v>
      </c>
      <c r="HG17" s="149">
        <v>7.0999999999999994E-2</v>
      </c>
      <c r="HH17" s="149">
        <v>6.0999999999999999E-2</v>
      </c>
      <c r="HI17" s="149">
        <v>5.7000000000000002E-2</v>
      </c>
      <c r="HJ17" s="149">
        <v>4.2999999999999997E-2</v>
      </c>
      <c r="HK17" s="149">
        <v>0.06</v>
      </c>
      <c r="HL17" s="149">
        <v>4.3999999999999997E-2</v>
      </c>
      <c r="HM17" s="149">
        <v>0.05</v>
      </c>
      <c r="HN17" s="149">
        <v>6.2E-2</v>
      </c>
      <c r="HO17" s="149">
        <v>8.2000000000000003E-2</v>
      </c>
      <c r="HP17" s="149">
        <v>0.108</v>
      </c>
      <c r="HQ17" s="149">
        <v>0.14799999999999999</v>
      </c>
      <c r="HR17" s="149">
        <v>0.14099999999999999</v>
      </c>
      <c r="HS17" s="149">
        <v>0.12</v>
      </c>
      <c r="HT17" s="149">
        <v>0.124</v>
      </c>
      <c r="HU17" s="149">
        <v>0.12</v>
      </c>
      <c r="HV17" s="149">
        <v>0.11899999999999999</v>
      </c>
      <c r="HW17" s="149">
        <v>0.13200000000000001</v>
      </c>
      <c r="HX17" s="149">
        <v>9.0999999999999998E-2</v>
      </c>
      <c r="HY17" s="149">
        <v>0.10299999999999999</v>
      </c>
      <c r="HZ17" s="149">
        <v>0.153</v>
      </c>
      <c r="IA17" s="149">
        <v>0.151</v>
      </c>
      <c r="IB17" s="149">
        <v>0.16500000000000001</v>
      </c>
      <c r="IC17" s="149">
        <v>0.17599999999999999</v>
      </c>
      <c r="ID17" s="149">
        <v>0.14299999999999999</v>
      </c>
      <c r="IE17" s="149">
        <v>0.14299999999999999</v>
      </c>
      <c r="IF17" s="149">
        <v>0.105</v>
      </c>
      <c r="IG17" s="149">
        <v>0.11899999999999999</v>
      </c>
      <c r="IH17" s="149">
        <v>0.122</v>
      </c>
      <c r="II17" s="149">
        <v>0.155</v>
      </c>
      <c r="IJ17" s="149">
        <v>0.125</v>
      </c>
      <c r="IK17" s="149">
        <v>0.154</v>
      </c>
      <c r="IL17" s="149">
        <v>0.186</v>
      </c>
      <c r="IM17" s="149">
        <v>0.222</v>
      </c>
      <c r="IN17" s="149">
        <v>0.247</v>
      </c>
      <c r="IO17" s="149">
        <v>0.32800000000000001</v>
      </c>
      <c r="IP17" s="149">
        <v>0.253</v>
      </c>
      <c r="IQ17" s="149">
        <v>0.26700000000000002</v>
      </c>
      <c r="IR17" s="149">
        <v>0.22700000000000001</v>
      </c>
      <c r="IS17" s="149">
        <v>0.221</v>
      </c>
      <c r="IT17" s="149">
        <v>0.182</v>
      </c>
      <c r="IU17" s="149">
        <v>0.23499999999999999</v>
      </c>
      <c r="IV17" s="149">
        <v>0.182</v>
      </c>
      <c r="IW17" s="149">
        <v>0.221</v>
      </c>
      <c r="IX17" s="149">
        <v>0.307</v>
      </c>
      <c r="IY17" s="149">
        <v>0.35599999999999998</v>
      </c>
      <c r="IZ17" s="149">
        <v>0.41499999999999998</v>
      </c>
      <c r="JA17" s="149">
        <v>0.38</v>
      </c>
      <c r="JB17" s="149">
        <v>0.32200000000000001</v>
      </c>
      <c r="JC17" s="149">
        <v>0.34799999999999998</v>
      </c>
      <c r="JD17" s="149">
        <v>0.28199999999999997</v>
      </c>
      <c r="JE17" s="149">
        <v>0.26300000000000001</v>
      </c>
      <c r="JF17" s="149">
        <v>0.246</v>
      </c>
      <c r="JG17" s="149">
        <v>0.27600000000000002</v>
      </c>
      <c r="JH17" s="149">
        <v>0.21299999999999999</v>
      </c>
      <c r="JI17" s="149">
        <v>0.248</v>
      </c>
      <c r="JJ17" s="149">
        <v>0.311</v>
      </c>
      <c r="JK17" s="149">
        <v>0.34799999999999998</v>
      </c>
      <c r="JL17" s="149">
        <v>0.371</v>
      </c>
      <c r="JM17" s="149">
        <v>0.38900000000000001</v>
      </c>
      <c r="JN17" s="149">
        <v>0.375</v>
      </c>
      <c r="JO17" s="149">
        <v>0.27</v>
      </c>
      <c r="JP17" s="149">
        <v>0.216</v>
      </c>
      <c r="JQ17" s="149">
        <v>0.16900000000000001</v>
      </c>
      <c r="JR17" s="149">
        <v>0.16400000000000001</v>
      </c>
      <c r="JS17" s="149">
        <v>0.17599999999999999</v>
      </c>
      <c r="JT17" s="149">
        <v>0.115</v>
      </c>
      <c r="JU17" s="149">
        <v>0.13200000000000001</v>
      </c>
      <c r="JV17" s="149">
        <v>0.158</v>
      </c>
      <c r="JW17" s="149">
        <v>0.19400000000000001</v>
      </c>
      <c r="JX17" s="149">
        <v>0.189</v>
      </c>
      <c r="JY17" s="149">
        <v>0.23</v>
      </c>
      <c r="JZ17" s="149">
        <v>0.20899999999999999</v>
      </c>
      <c r="KA17" s="149">
        <v>0.19400000000000001</v>
      </c>
      <c r="KB17" s="149">
        <v>0.186</v>
      </c>
      <c r="KC17" s="149">
        <v>0.159</v>
      </c>
      <c r="KD17" s="149">
        <v>0.12</v>
      </c>
      <c r="KE17" s="149">
        <v>0.183</v>
      </c>
      <c r="KF17" s="149">
        <v>0.129</v>
      </c>
      <c r="KG17" s="149">
        <v>0.13600000000000001</v>
      </c>
      <c r="KH17" s="149">
        <v>0.19800000000000001</v>
      </c>
      <c r="KI17" s="149">
        <v>0.21</v>
      </c>
      <c r="KJ17" s="149">
        <v>0.20899999999999999</v>
      </c>
      <c r="KK17" s="149">
        <v>0.24099999999999999</v>
      </c>
      <c r="KL17" s="149">
        <v>0.26500000000000001</v>
      </c>
      <c r="KM17" s="149">
        <v>0.216</v>
      </c>
      <c r="KN17" s="149">
        <v>0.216</v>
      </c>
      <c r="KO17" s="149">
        <v>0.17699999999999999</v>
      </c>
      <c r="KP17" s="149">
        <v>0.14199999999999999</v>
      </c>
      <c r="KQ17" s="149">
        <v>0.17199999999999999</v>
      </c>
      <c r="KR17" s="149">
        <v>0.114</v>
      </c>
      <c r="KS17" s="149">
        <v>0.124</v>
      </c>
      <c r="KT17" s="149">
        <v>0.18</v>
      </c>
      <c r="KU17" s="149">
        <v>0.19900000000000001</v>
      </c>
      <c r="KV17" s="149">
        <v>0.20499999999999999</v>
      </c>
      <c r="KW17" s="149">
        <v>0.23799999999999999</v>
      </c>
      <c r="KX17" s="149">
        <v>0.19500000000000001</v>
      </c>
      <c r="KY17" s="149">
        <v>0.245</v>
      </c>
      <c r="KZ17" s="149">
        <v>0.20599999999999999</v>
      </c>
      <c r="LA17" s="149">
        <v>0.18</v>
      </c>
      <c r="LB17" s="149">
        <v>0.16900000000000001</v>
      </c>
      <c r="LC17" s="149">
        <v>0.19</v>
      </c>
      <c r="LD17" s="149">
        <v>0.158</v>
      </c>
      <c r="LE17" s="149">
        <v>0.159</v>
      </c>
      <c r="LF17" s="149">
        <v>0.215</v>
      </c>
      <c r="LG17" s="149">
        <v>0.20899999999999999</v>
      </c>
      <c r="LH17" s="149">
        <v>0.25800000000000001</v>
      </c>
      <c r="LI17" s="149">
        <v>0.28000000000000003</v>
      </c>
      <c r="LJ17" s="149">
        <v>0.23599999999999999</v>
      </c>
      <c r="LK17" s="149">
        <v>0.25</v>
      </c>
      <c r="LL17" s="149">
        <v>0.20300000000000001</v>
      </c>
      <c r="LM17" s="149">
        <v>0.20100000000000001</v>
      </c>
      <c r="LN17" s="149">
        <v>0.19600000000000001</v>
      </c>
      <c r="LO17" s="149">
        <v>0.215</v>
      </c>
      <c r="LP17" s="149">
        <v>0.189</v>
      </c>
      <c r="LQ17" s="149">
        <v>0.20699999999999999</v>
      </c>
      <c r="LR17" s="149">
        <v>0.247</v>
      </c>
      <c r="LS17" s="149">
        <v>0.26100000000000001</v>
      </c>
      <c r="LT17" s="149">
        <v>0.33</v>
      </c>
      <c r="LU17" s="149">
        <v>0.33500000000000002</v>
      </c>
      <c r="LV17" s="149">
        <v>0.315</v>
      </c>
      <c r="LW17" s="149">
        <v>0.28599999999999998</v>
      </c>
      <c r="LX17" s="149">
        <v>0.21299999999999999</v>
      </c>
      <c r="LY17" s="149">
        <v>0.216</v>
      </c>
      <c r="LZ17" s="149">
        <v>0.2</v>
      </c>
      <c r="MA17" s="149">
        <v>0.20799999999999999</v>
      </c>
      <c r="MB17" s="149">
        <v>0.17199999999999999</v>
      </c>
      <c r="MC17" s="149">
        <v>0.189</v>
      </c>
      <c r="MD17" s="149">
        <v>0.22900000000000001</v>
      </c>
      <c r="ME17" s="149">
        <v>0.28000000000000003</v>
      </c>
      <c r="MF17" s="149">
        <v>0.34599999999999997</v>
      </c>
      <c r="MG17" s="145">
        <v>0.33400000000000002</v>
      </c>
      <c r="MH17" s="145">
        <v>0.36499999999999999</v>
      </c>
      <c r="MI17" s="145">
        <v>0.36199999999999999</v>
      </c>
      <c r="MJ17" s="145">
        <v>0.33500000000000002</v>
      </c>
      <c r="MK17" s="145">
        <v>0.315</v>
      </c>
      <c r="ML17" s="145">
        <v>0.27</v>
      </c>
      <c r="MM17" s="145">
        <v>0.36899999999999999</v>
      </c>
      <c r="MN17" s="145">
        <v>0.26400000000000001</v>
      </c>
      <c r="MO17" s="145">
        <v>0.379</v>
      </c>
      <c r="MP17" s="145">
        <v>0.36899999999999999</v>
      </c>
      <c r="MQ17" s="145">
        <v>0.254</v>
      </c>
      <c r="MR17" s="145">
        <v>0.26600000000000001</v>
      </c>
      <c r="MS17" s="145">
        <v>0.50900000000000001</v>
      </c>
      <c r="MT17" s="145">
        <v>0.63300000000000001</v>
      </c>
      <c r="MU17" s="145">
        <v>0.61499999999999999</v>
      </c>
      <c r="MV17" s="145">
        <v>0.59299999999999997</v>
      </c>
      <c r="MW17" s="145">
        <v>0.67800000000000005</v>
      </c>
      <c r="MX17" s="145">
        <v>0.70899999999999996</v>
      </c>
      <c r="MY17" s="145">
        <v>1.089</v>
      </c>
      <c r="MZ17" s="145">
        <v>1.0329999999999999</v>
      </c>
      <c r="NA17" s="145">
        <v>1.35</v>
      </c>
      <c r="NB17" s="145">
        <v>1.5669999999999999</v>
      </c>
      <c r="NC17" s="145">
        <v>1.321</v>
      </c>
      <c r="ND17" s="145">
        <v>1.345</v>
      </c>
      <c r="NE17" s="145">
        <v>1.1879999999999999</v>
      </c>
      <c r="NF17" s="145">
        <v>0.96699999999999997</v>
      </c>
      <c r="NG17" s="145">
        <v>0.90800000000000003</v>
      </c>
      <c r="NH17" s="145">
        <v>0.88700000000000001</v>
      </c>
      <c r="NI17" s="145">
        <v>0.873</v>
      </c>
      <c r="NJ17" s="145">
        <v>1.1559999999999999</v>
      </c>
      <c r="NK17" s="145">
        <v>1.1559999999999999</v>
      </c>
      <c r="NL17" s="145">
        <v>1.268</v>
      </c>
      <c r="NM17" s="145">
        <v>1.375</v>
      </c>
      <c r="NN17" s="145">
        <v>1.5029999999999999</v>
      </c>
      <c r="NO17" s="145">
        <v>1.0980000000000001</v>
      </c>
      <c r="NP17" s="145">
        <v>0.71399999999999997</v>
      </c>
      <c r="NQ17" s="145">
        <v>0.438</v>
      </c>
      <c r="NR17" s="145">
        <v>0.248</v>
      </c>
      <c r="NS17" s="145">
        <v>0.30599999999999999</v>
      </c>
      <c r="NT17" s="145">
        <v>0.25</v>
      </c>
      <c r="NU17" s="145">
        <v>0.23</v>
      </c>
      <c r="NV17" s="145">
        <v>0.23699999999999999</v>
      </c>
      <c r="NW17" s="145">
        <v>0.248</v>
      </c>
      <c r="NX17" s="145">
        <v>0.188</v>
      </c>
      <c r="NY17" s="145">
        <v>0.251</v>
      </c>
      <c r="NZ17" s="145">
        <v>0.39500000000000002</v>
      </c>
      <c r="OA17" s="145">
        <v>0.32600000000000001</v>
      </c>
      <c r="OB17" s="145">
        <v>0.498</v>
      </c>
      <c r="OC17" s="145">
        <v>0.53700000000000003</v>
      </c>
      <c r="OD17" s="145">
        <v>0.378</v>
      </c>
      <c r="OE17" s="145">
        <v>0.39300000000000002</v>
      </c>
      <c r="OF17" s="145">
        <v>0.28999999999999998</v>
      </c>
      <c r="OG17" s="145">
        <v>0.24099999999999999</v>
      </c>
      <c r="OH17" s="145">
        <v>0.249</v>
      </c>
      <c r="OI17" s="145">
        <v>0.27600000000000002</v>
      </c>
      <c r="OJ17" s="145">
        <v>0.20699999999999999</v>
      </c>
      <c r="OK17" s="145">
        <v>0.26100000000000001</v>
      </c>
      <c r="OL17" s="145">
        <v>0.28000000000000003</v>
      </c>
    </row>
    <row r="18" spans="1:402" s="149" customFormat="1" ht="14.25" customHeight="1" x14ac:dyDescent="0.35">
      <c r="A18" s="147"/>
      <c r="AF18" s="148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50"/>
      <c r="GT18" s="150"/>
      <c r="GU18" s="150"/>
    </row>
    <row r="19" spans="1:402" ht="16" thickBot="1" x14ac:dyDescent="0.4">
      <c r="A19" s="4"/>
      <c r="B19" s="5"/>
      <c r="C19" s="5"/>
      <c r="D19" s="5"/>
      <c r="E19" s="5"/>
      <c r="F19" s="5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5"/>
      <c r="GU19" s="5"/>
      <c r="GV19" s="5"/>
      <c r="GW19" s="5"/>
      <c r="GX19" s="5"/>
      <c r="GY19" s="5"/>
      <c r="GZ19" s="6"/>
      <c r="HA19" s="6"/>
      <c r="HB19" s="6"/>
      <c r="HC19" s="6"/>
      <c r="HD19" s="6"/>
      <c r="HE19" s="6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</row>
    <row r="20" spans="1:402" ht="18" x14ac:dyDescent="0.4">
      <c r="A20" s="8" t="s">
        <v>38</v>
      </c>
      <c r="B20" s="9"/>
      <c r="C20" s="9"/>
      <c r="D20" s="9"/>
      <c r="E20" s="9"/>
      <c r="F20" s="9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9"/>
      <c r="GU20" s="9"/>
      <c r="GV20" s="9"/>
      <c r="GW20" s="9"/>
      <c r="GX20" s="9"/>
      <c r="GY20" s="9"/>
      <c r="GZ20" s="10"/>
      <c r="HA20" s="10"/>
      <c r="HB20" s="10"/>
      <c r="HC20" s="10"/>
      <c r="HD20" s="10"/>
      <c r="HE20" s="10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</row>
    <row r="21" spans="1:402" ht="16" thickBot="1" x14ac:dyDescent="0.4">
      <c r="GU21" s="12" t="s">
        <v>2</v>
      </c>
    </row>
    <row r="22" spans="1:402" ht="15" customHeight="1" x14ac:dyDescent="0.35">
      <c r="B22" s="13">
        <v>2007</v>
      </c>
      <c r="C22" s="13"/>
      <c r="D22" s="13"/>
      <c r="E22" s="14"/>
      <c r="F22" s="15">
        <v>2008</v>
      </c>
      <c r="G22" s="16"/>
      <c r="H22" s="17"/>
      <c r="I22" s="16"/>
      <c r="J22" s="16"/>
      <c r="K22" s="16"/>
      <c r="L22" s="18"/>
      <c r="M22" s="18"/>
      <c r="N22" s="18"/>
      <c r="O22" s="18"/>
      <c r="P22" s="18"/>
      <c r="Q22" s="18"/>
      <c r="R22" s="19">
        <v>2009</v>
      </c>
      <c r="S22" s="19"/>
      <c r="T22" s="19"/>
      <c r="U22" s="19"/>
      <c r="V22" s="16"/>
      <c r="W22" s="16"/>
      <c r="X22" s="16"/>
      <c r="Y22" s="16"/>
      <c r="Z22" s="16"/>
      <c r="AA22" s="16"/>
      <c r="AB22" s="16"/>
      <c r="AC22" s="16"/>
      <c r="AD22" s="19">
        <v>2010</v>
      </c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>
        <v>2011</v>
      </c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9">
        <v>2012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9">
        <v>2013</v>
      </c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>
        <v>2014</v>
      </c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>
        <v>2015</v>
      </c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9">
        <v>2016</v>
      </c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9">
        <v>2017</v>
      </c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>
        <v>2018</v>
      </c>
      <c r="DW22" s="19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9">
        <v>2019</v>
      </c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9">
        <v>2020</v>
      </c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9">
        <v>2021</v>
      </c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>
        <v>2022</v>
      </c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>
        <v>2023</v>
      </c>
      <c r="GE22" s="19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9">
        <v>2024</v>
      </c>
      <c r="GQ22" s="19"/>
      <c r="GR22" s="183"/>
      <c r="GS22" s="13"/>
      <c r="GV22" s="13">
        <v>2007</v>
      </c>
      <c r="GW22" s="13"/>
      <c r="GX22" s="13"/>
      <c r="GY22" s="14"/>
      <c r="GZ22" s="15">
        <v>2008</v>
      </c>
      <c r="HA22" s="16"/>
      <c r="HB22" s="17"/>
      <c r="HC22" s="16"/>
      <c r="HD22" s="16"/>
      <c r="HE22" s="16"/>
      <c r="HF22" s="18"/>
      <c r="HG22" s="18"/>
      <c r="HH22" s="18"/>
      <c r="HI22" s="18"/>
      <c r="HJ22" s="18"/>
      <c r="HK22" s="18"/>
      <c r="HL22" s="19">
        <v>2009</v>
      </c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>
        <v>2010</v>
      </c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>
        <v>2011</v>
      </c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>
        <v>2012</v>
      </c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>
        <v>2013</v>
      </c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>
        <v>2014</v>
      </c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>
        <v>2015</v>
      </c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>
        <v>2016</v>
      </c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>
        <v>2017</v>
      </c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>
        <v>2018</v>
      </c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>
        <v>2019</v>
      </c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>
        <v>2020</v>
      </c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>
        <v>2021</v>
      </c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>
        <v>2022</v>
      </c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>
        <v>2023</v>
      </c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>
        <v>2024</v>
      </c>
      <c r="OK22" s="19"/>
      <c r="OL22" s="19"/>
    </row>
    <row r="23" spans="1:402" x14ac:dyDescent="0.35">
      <c r="B23" s="20" t="s">
        <v>3</v>
      </c>
      <c r="C23" s="21" t="s">
        <v>4</v>
      </c>
      <c r="D23" s="20" t="s">
        <v>5</v>
      </c>
      <c r="E23" s="20" t="s">
        <v>6</v>
      </c>
      <c r="F23" s="20" t="s">
        <v>7</v>
      </c>
      <c r="G23" s="20" t="s">
        <v>8</v>
      </c>
      <c r="H23" s="20" t="s">
        <v>9</v>
      </c>
      <c r="I23" s="20" t="s">
        <v>10</v>
      </c>
      <c r="J23" s="20" t="s">
        <v>11</v>
      </c>
      <c r="K23" s="20" t="s">
        <v>12</v>
      </c>
      <c r="L23" s="20" t="s">
        <v>13</v>
      </c>
      <c r="M23" s="20" t="s">
        <v>14</v>
      </c>
      <c r="N23" s="20" t="s">
        <v>3</v>
      </c>
      <c r="O23" s="20" t="s">
        <v>4</v>
      </c>
      <c r="P23" s="20" t="s">
        <v>5</v>
      </c>
      <c r="Q23" s="20" t="s">
        <v>15</v>
      </c>
      <c r="R23" s="22" t="s">
        <v>7</v>
      </c>
      <c r="S23" s="22" t="s">
        <v>8</v>
      </c>
      <c r="T23" s="22" t="s">
        <v>9</v>
      </c>
      <c r="U23" s="22" t="s">
        <v>10</v>
      </c>
      <c r="V23" s="22" t="s">
        <v>11</v>
      </c>
      <c r="W23" s="22" t="s">
        <v>12</v>
      </c>
      <c r="X23" s="22" t="s">
        <v>13</v>
      </c>
      <c r="Y23" s="22" t="s">
        <v>14</v>
      </c>
      <c r="Z23" s="22" t="s">
        <v>16</v>
      </c>
      <c r="AA23" s="22" t="s">
        <v>4</v>
      </c>
      <c r="AB23" s="22" t="s">
        <v>5</v>
      </c>
      <c r="AC23" s="22" t="s">
        <v>6</v>
      </c>
      <c r="AD23" s="22" t="s">
        <v>17</v>
      </c>
      <c r="AE23" s="22" t="s">
        <v>8</v>
      </c>
      <c r="AF23" s="22" t="s">
        <v>18</v>
      </c>
      <c r="AG23" s="22" t="s">
        <v>10</v>
      </c>
      <c r="AH23" s="22" t="s">
        <v>11</v>
      </c>
      <c r="AI23" s="22" t="s">
        <v>12</v>
      </c>
      <c r="AJ23" s="22" t="s">
        <v>13</v>
      </c>
      <c r="AK23" s="22" t="s">
        <v>14</v>
      </c>
      <c r="AL23" s="22" t="s">
        <v>16</v>
      </c>
      <c r="AM23" s="22" t="s">
        <v>19</v>
      </c>
      <c r="AN23" s="22" t="s">
        <v>5</v>
      </c>
      <c r="AO23" s="22" t="s">
        <v>6</v>
      </c>
      <c r="AP23" s="22" t="s">
        <v>7</v>
      </c>
      <c r="AQ23" s="22" t="s">
        <v>8</v>
      </c>
      <c r="AR23" s="22" t="s">
        <v>9</v>
      </c>
      <c r="AS23" s="22" t="s">
        <v>10</v>
      </c>
      <c r="AT23" s="22" t="s">
        <v>11</v>
      </c>
      <c r="AU23" s="22" t="s">
        <v>12</v>
      </c>
      <c r="AV23" s="22" t="s">
        <v>13</v>
      </c>
      <c r="AW23" s="22" t="s">
        <v>14</v>
      </c>
      <c r="AX23" s="22" t="s">
        <v>3</v>
      </c>
      <c r="AY23" s="22" t="s">
        <v>4</v>
      </c>
      <c r="AZ23" s="22" t="s">
        <v>5</v>
      </c>
      <c r="BA23" s="22" t="s">
        <v>15</v>
      </c>
      <c r="BB23" s="22" t="s">
        <v>7</v>
      </c>
      <c r="BC23" s="22" t="s">
        <v>8</v>
      </c>
      <c r="BD23" s="22" t="s">
        <v>18</v>
      </c>
      <c r="BE23" s="22" t="s">
        <v>10</v>
      </c>
      <c r="BF23" s="22" t="s">
        <v>11</v>
      </c>
      <c r="BG23" s="22" t="s">
        <v>12</v>
      </c>
      <c r="BH23" s="22" t="s">
        <v>20</v>
      </c>
      <c r="BI23" s="22" t="s">
        <v>21</v>
      </c>
      <c r="BJ23" s="22" t="s">
        <v>16</v>
      </c>
      <c r="BK23" s="22" t="s">
        <v>19</v>
      </c>
      <c r="BL23" s="22" t="s">
        <v>5</v>
      </c>
      <c r="BM23" s="22" t="s">
        <v>15</v>
      </c>
      <c r="BN23" s="22" t="s">
        <v>7</v>
      </c>
      <c r="BO23" s="22" t="s">
        <v>8</v>
      </c>
      <c r="BP23" s="22" t="s">
        <v>9</v>
      </c>
      <c r="BQ23" s="22" t="s">
        <v>10</v>
      </c>
      <c r="BR23" s="22" t="s">
        <v>11</v>
      </c>
      <c r="BS23" s="22" t="s">
        <v>12</v>
      </c>
      <c r="BT23" s="22" t="s">
        <v>20</v>
      </c>
      <c r="BU23" s="22" t="s">
        <v>21</v>
      </c>
      <c r="BV23" s="22" t="s">
        <v>22</v>
      </c>
      <c r="BW23" s="22" t="s">
        <v>4</v>
      </c>
      <c r="BX23" s="22" t="s">
        <v>5</v>
      </c>
      <c r="BY23" s="22" t="s">
        <v>6</v>
      </c>
      <c r="BZ23" s="22" t="s">
        <v>17</v>
      </c>
      <c r="CA23" s="22" t="s">
        <v>23</v>
      </c>
      <c r="CB23" s="22" t="s">
        <v>18</v>
      </c>
      <c r="CC23" s="22" t="s">
        <v>24</v>
      </c>
      <c r="CD23" s="22" t="s">
        <v>11</v>
      </c>
      <c r="CE23" s="22" t="s">
        <v>12</v>
      </c>
      <c r="CF23" s="22" t="s">
        <v>13</v>
      </c>
      <c r="CG23" s="22" t="s">
        <v>14</v>
      </c>
      <c r="CH23" s="22" t="s">
        <v>16</v>
      </c>
      <c r="CI23" s="22" t="s">
        <v>4</v>
      </c>
      <c r="CJ23" s="22" t="s">
        <v>5</v>
      </c>
      <c r="CK23" s="22" t="s">
        <v>6</v>
      </c>
      <c r="CL23" s="22" t="s">
        <v>7</v>
      </c>
      <c r="CM23" s="22" t="s">
        <v>8</v>
      </c>
      <c r="CN23" s="22" t="s">
        <v>18</v>
      </c>
      <c r="CO23" s="22" t="s">
        <v>10</v>
      </c>
      <c r="CP23" s="22" t="s">
        <v>11</v>
      </c>
      <c r="CQ23" s="22" t="s">
        <v>12</v>
      </c>
      <c r="CR23" s="22" t="s">
        <v>20</v>
      </c>
      <c r="CS23" s="22" t="s">
        <v>14</v>
      </c>
      <c r="CT23" s="22" t="s">
        <v>22</v>
      </c>
      <c r="CU23" s="22" t="s">
        <v>19</v>
      </c>
      <c r="CV23" s="22" t="s">
        <v>5</v>
      </c>
      <c r="CW23" s="22" t="s">
        <v>15</v>
      </c>
      <c r="CX23" s="22" t="s">
        <v>7</v>
      </c>
      <c r="CY23" s="22" t="s">
        <v>23</v>
      </c>
      <c r="CZ23" s="22" t="s">
        <v>18</v>
      </c>
      <c r="DA23" s="22" t="s">
        <v>24</v>
      </c>
      <c r="DB23" s="22" t="s">
        <v>11</v>
      </c>
      <c r="DC23" s="22" t="s">
        <v>12</v>
      </c>
      <c r="DD23" s="22" t="s">
        <v>13</v>
      </c>
      <c r="DE23" s="22" t="s">
        <v>14</v>
      </c>
      <c r="DF23" s="22" t="s">
        <v>16</v>
      </c>
      <c r="DG23" s="22" t="s">
        <v>4</v>
      </c>
      <c r="DH23" s="22" t="s">
        <v>5</v>
      </c>
      <c r="DI23" s="22" t="s">
        <v>15</v>
      </c>
      <c r="DJ23" s="22" t="s">
        <v>7</v>
      </c>
      <c r="DK23" s="22" t="s">
        <v>8</v>
      </c>
      <c r="DL23" s="22" t="s">
        <v>18</v>
      </c>
      <c r="DM23" s="22" t="s">
        <v>24</v>
      </c>
      <c r="DN23" s="22" t="s">
        <v>11</v>
      </c>
      <c r="DO23" s="22" t="s">
        <v>12</v>
      </c>
      <c r="DP23" s="22" t="s">
        <v>20</v>
      </c>
      <c r="DQ23" s="22" t="s">
        <v>14</v>
      </c>
      <c r="DR23" s="22" t="s">
        <v>22</v>
      </c>
      <c r="DS23" s="22" t="s">
        <v>19</v>
      </c>
      <c r="DT23" s="22" t="s">
        <v>5</v>
      </c>
      <c r="DU23" s="22" t="s">
        <v>15</v>
      </c>
      <c r="DV23" s="22" t="s">
        <v>7</v>
      </c>
      <c r="DW23" s="22" t="s">
        <v>8</v>
      </c>
      <c r="DX23" s="22" t="s">
        <v>18</v>
      </c>
      <c r="DY23" s="22" t="s">
        <v>24</v>
      </c>
      <c r="DZ23" s="22" t="s">
        <v>11</v>
      </c>
      <c r="EA23" s="22" t="s">
        <v>12</v>
      </c>
      <c r="EB23" s="22" t="s">
        <v>20</v>
      </c>
      <c r="EC23" s="22" t="s">
        <v>21</v>
      </c>
      <c r="ED23" s="22" t="s">
        <v>22</v>
      </c>
      <c r="EE23" s="22" t="s">
        <v>4</v>
      </c>
      <c r="EF23" s="22" t="s">
        <v>5</v>
      </c>
      <c r="EG23" s="22" t="s">
        <v>15</v>
      </c>
      <c r="EH23" s="22" t="s">
        <v>17</v>
      </c>
      <c r="EI23" s="22" t="s">
        <v>23</v>
      </c>
      <c r="EJ23" s="22" t="s">
        <v>18</v>
      </c>
      <c r="EK23" s="22" t="s">
        <v>24</v>
      </c>
      <c r="EL23" s="22" t="s">
        <v>11</v>
      </c>
      <c r="EM23" s="22" t="s">
        <v>12</v>
      </c>
      <c r="EN23" s="22" t="s">
        <v>20</v>
      </c>
      <c r="EO23" s="22" t="s">
        <v>21</v>
      </c>
      <c r="EP23" s="22" t="s">
        <v>22</v>
      </c>
      <c r="EQ23" s="22" t="s">
        <v>4</v>
      </c>
      <c r="ER23" s="22" t="s">
        <v>5</v>
      </c>
      <c r="ES23" s="22" t="s">
        <v>6</v>
      </c>
      <c r="ET23" s="22" t="s">
        <v>17</v>
      </c>
      <c r="EU23" s="22" t="s">
        <v>8</v>
      </c>
      <c r="EV23" s="22" t="s">
        <v>18</v>
      </c>
      <c r="EW23" s="22" t="s">
        <v>24</v>
      </c>
      <c r="EX23" s="22" t="s">
        <v>11</v>
      </c>
      <c r="EY23" s="22" t="s">
        <v>12</v>
      </c>
      <c r="EZ23" s="22" t="s">
        <v>20</v>
      </c>
      <c r="FA23" s="22" t="s">
        <v>14</v>
      </c>
      <c r="FB23" s="22" t="s">
        <v>22</v>
      </c>
      <c r="FC23" s="22" t="s">
        <v>4</v>
      </c>
      <c r="FD23" s="22" t="s">
        <v>5</v>
      </c>
      <c r="FE23" s="22" t="s">
        <v>6</v>
      </c>
      <c r="FF23" s="22" t="s">
        <v>7</v>
      </c>
      <c r="FG23" s="22" t="s">
        <v>8</v>
      </c>
      <c r="FH23" s="22" t="s">
        <v>9</v>
      </c>
      <c r="FI23" s="22" t="s">
        <v>24</v>
      </c>
      <c r="FJ23" s="22" t="s">
        <v>11</v>
      </c>
      <c r="FK23" s="22" t="s">
        <v>12</v>
      </c>
      <c r="FL23" s="22" t="s">
        <v>20</v>
      </c>
      <c r="FM23" s="22" t="s">
        <v>14</v>
      </c>
      <c r="FN23" s="22" t="s">
        <v>22</v>
      </c>
      <c r="FO23" s="22" t="s">
        <v>19</v>
      </c>
      <c r="FP23" s="22" t="s">
        <v>27</v>
      </c>
      <c r="FQ23" s="22" t="s">
        <v>15</v>
      </c>
      <c r="FR23" s="22" t="s">
        <v>7</v>
      </c>
      <c r="FS23" s="22" t="s">
        <v>8</v>
      </c>
      <c r="FT23" s="22" t="s">
        <v>9</v>
      </c>
      <c r="FU23" s="22" t="s">
        <v>10</v>
      </c>
      <c r="FV23" s="22" t="s">
        <v>11</v>
      </c>
      <c r="FW23" s="22" t="s">
        <v>12</v>
      </c>
      <c r="FX23" s="22" t="s">
        <v>20</v>
      </c>
      <c r="FY23" s="22" t="s">
        <v>14</v>
      </c>
      <c r="FZ23" s="22" t="s">
        <v>16</v>
      </c>
      <c r="GA23" s="22" t="s">
        <v>19</v>
      </c>
      <c r="GB23" s="22" t="s">
        <v>5</v>
      </c>
      <c r="GC23" s="22" t="s">
        <v>6</v>
      </c>
      <c r="GD23" s="22" t="s">
        <v>7</v>
      </c>
      <c r="GE23" s="22" t="s">
        <v>8</v>
      </c>
      <c r="GF23" s="22" t="s">
        <v>18</v>
      </c>
      <c r="GG23" s="22" t="s">
        <v>24</v>
      </c>
      <c r="GH23" s="22" t="s">
        <v>11</v>
      </c>
      <c r="GI23" s="22" t="s">
        <v>12</v>
      </c>
      <c r="GJ23" s="22" t="s">
        <v>13</v>
      </c>
      <c r="GK23" s="22" t="s">
        <v>14</v>
      </c>
      <c r="GL23" s="22" t="s">
        <v>22</v>
      </c>
      <c r="GM23" s="22" t="s">
        <v>4</v>
      </c>
      <c r="GN23" s="22" t="s">
        <v>5</v>
      </c>
      <c r="GO23" s="22" t="s">
        <v>6</v>
      </c>
      <c r="GP23" s="22" t="s">
        <v>7</v>
      </c>
      <c r="GQ23" s="22" t="s">
        <v>8</v>
      </c>
      <c r="GR23" s="22" t="s">
        <v>18</v>
      </c>
      <c r="GS23" s="22" t="s">
        <v>25</v>
      </c>
      <c r="GT23" s="2"/>
      <c r="GU23" s="2"/>
      <c r="GV23" s="20" t="s">
        <v>3</v>
      </c>
      <c r="GW23" s="21" t="s">
        <v>4</v>
      </c>
      <c r="GX23" s="20" t="s">
        <v>5</v>
      </c>
      <c r="GY23" s="20" t="s">
        <v>6</v>
      </c>
      <c r="GZ23" s="20" t="s">
        <v>7</v>
      </c>
      <c r="HA23" s="20" t="s">
        <v>8</v>
      </c>
      <c r="HB23" s="20" t="s">
        <v>9</v>
      </c>
      <c r="HC23" s="20" t="s">
        <v>10</v>
      </c>
      <c r="HD23" s="20" t="s">
        <v>11</v>
      </c>
      <c r="HE23" s="20" t="s">
        <v>12</v>
      </c>
      <c r="HF23" s="20" t="s">
        <v>13</v>
      </c>
      <c r="HG23" s="20" t="s">
        <v>14</v>
      </c>
      <c r="HH23" s="20" t="s">
        <v>3</v>
      </c>
      <c r="HI23" s="20" t="s">
        <v>4</v>
      </c>
      <c r="HJ23" s="20" t="s">
        <v>5</v>
      </c>
      <c r="HK23" s="20" t="s">
        <v>15</v>
      </c>
      <c r="HL23" s="22" t="s">
        <v>7</v>
      </c>
      <c r="HM23" s="22" t="s">
        <v>8</v>
      </c>
      <c r="HN23" s="22" t="s">
        <v>9</v>
      </c>
      <c r="HO23" s="22" t="s">
        <v>10</v>
      </c>
      <c r="HP23" s="22" t="s">
        <v>11</v>
      </c>
      <c r="HQ23" s="22" t="s">
        <v>12</v>
      </c>
      <c r="HR23" s="22" t="s">
        <v>13</v>
      </c>
      <c r="HS23" s="22" t="s">
        <v>14</v>
      </c>
      <c r="HT23" s="22" t="s">
        <v>16</v>
      </c>
      <c r="HU23" s="22" t="s">
        <v>4</v>
      </c>
      <c r="HV23" s="22" t="s">
        <v>5</v>
      </c>
      <c r="HW23" s="22" t="s">
        <v>6</v>
      </c>
      <c r="HX23" s="22" t="s">
        <v>17</v>
      </c>
      <c r="HY23" s="22" t="s">
        <v>8</v>
      </c>
      <c r="HZ23" s="22" t="s">
        <v>18</v>
      </c>
      <c r="IA23" s="22" t="s">
        <v>10</v>
      </c>
      <c r="IB23" s="22" t="s">
        <v>11</v>
      </c>
      <c r="IC23" s="22" t="s">
        <v>12</v>
      </c>
      <c r="ID23" s="22" t="s">
        <v>13</v>
      </c>
      <c r="IE23" s="22" t="s">
        <v>26</v>
      </c>
      <c r="IF23" s="22" t="s">
        <v>16</v>
      </c>
      <c r="IG23" s="22" t="s">
        <v>4</v>
      </c>
      <c r="IH23" s="22" t="s">
        <v>5</v>
      </c>
      <c r="II23" s="22" t="s">
        <v>6</v>
      </c>
      <c r="IJ23" s="22" t="s">
        <v>7</v>
      </c>
      <c r="IK23" s="22" t="s">
        <v>8</v>
      </c>
      <c r="IL23" s="22" t="s">
        <v>18</v>
      </c>
      <c r="IM23" s="22" t="s">
        <v>10</v>
      </c>
      <c r="IN23" s="22" t="s">
        <v>11</v>
      </c>
      <c r="IO23" s="22" t="s">
        <v>12</v>
      </c>
      <c r="IP23" s="22" t="s">
        <v>13</v>
      </c>
      <c r="IQ23" s="22" t="s">
        <v>14</v>
      </c>
      <c r="IR23" s="22" t="s">
        <v>3</v>
      </c>
      <c r="IS23" s="22" t="s">
        <v>4</v>
      </c>
      <c r="IT23" s="22" t="s">
        <v>5</v>
      </c>
      <c r="IU23" s="22" t="s">
        <v>15</v>
      </c>
      <c r="IV23" s="22" t="s">
        <v>7</v>
      </c>
      <c r="IW23" s="22" t="s">
        <v>8</v>
      </c>
      <c r="IX23" s="22" t="s">
        <v>18</v>
      </c>
      <c r="IY23" s="22" t="s">
        <v>10</v>
      </c>
      <c r="IZ23" s="22" t="s">
        <v>11</v>
      </c>
      <c r="JA23" s="22" t="s">
        <v>12</v>
      </c>
      <c r="JB23" s="22" t="s">
        <v>12</v>
      </c>
      <c r="JC23" s="22" t="s">
        <v>21</v>
      </c>
      <c r="JD23" s="22" t="s">
        <v>16</v>
      </c>
      <c r="JE23" s="22" t="s">
        <v>4</v>
      </c>
      <c r="JF23" s="22" t="s">
        <v>5</v>
      </c>
      <c r="JG23" s="22" t="s">
        <v>6</v>
      </c>
      <c r="JH23" s="22" t="s">
        <v>7</v>
      </c>
      <c r="JI23" s="22" t="s">
        <v>8</v>
      </c>
      <c r="JJ23" s="22" t="s">
        <v>9</v>
      </c>
      <c r="JK23" s="22" t="s">
        <v>10</v>
      </c>
      <c r="JL23" s="22" t="s">
        <v>11</v>
      </c>
      <c r="JM23" s="22" t="s">
        <v>12</v>
      </c>
      <c r="JN23" s="22" t="s">
        <v>20</v>
      </c>
      <c r="JO23" s="22" t="s">
        <v>14</v>
      </c>
      <c r="JP23" s="22" t="s">
        <v>22</v>
      </c>
      <c r="JQ23" s="22" t="s">
        <v>4</v>
      </c>
      <c r="JR23" s="22" t="s">
        <v>5</v>
      </c>
      <c r="JS23" s="22" t="s">
        <v>6</v>
      </c>
      <c r="JT23" s="22" t="s">
        <v>17</v>
      </c>
      <c r="JU23" s="22" t="s">
        <v>23</v>
      </c>
      <c r="JV23" s="22" t="s">
        <v>18</v>
      </c>
      <c r="JW23" s="22" t="s">
        <v>24</v>
      </c>
      <c r="JX23" s="22" t="s">
        <v>11</v>
      </c>
      <c r="JY23" s="22" t="s">
        <v>12</v>
      </c>
      <c r="JZ23" s="22" t="s">
        <v>13</v>
      </c>
      <c r="KA23" s="22" t="s">
        <v>14</v>
      </c>
      <c r="KB23" s="22" t="s">
        <v>22</v>
      </c>
      <c r="KC23" s="22" t="s">
        <v>4</v>
      </c>
      <c r="KD23" s="22" t="s">
        <v>5</v>
      </c>
      <c r="KE23" s="22" t="s">
        <v>6</v>
      </c>
      <c r="KF23" s="22" t="s">
        <v>17</v>
      </c>
      <c r="KG23" s="22" t="s">
        <v>8</v>
      </c>
      <c r="KH23" s="22" t="s">
        <v>18</v>
      </c>
      <c r="KI23" s="22" t="s">
        <v>10</v>
      </c>
      <c r="KJ23" s="22" t="s">
        <v>11</v>
      </c>
      <c r="KK23" s="22" t="s">
        <v>12</v>
      </c>
      <c r="KL23" s="22" t="s">
        <v>20</v>
      </c>
      <c r="KM23" s="22" t="s">
        <v>21</v>
      </c>
      <c r="KN23" s="22" t="s">
        <v>16</v>
      </c>
      <c r="KO23" s="22" t="s">
        <v>19</v>
      </c>
      <c r="KP23" s="22" t="s">
        <v>5</v>
      </c>
      <c r="KQ23" s="22" t="s">
        <v>6</v>
      </c>
      <c r="KR23" s="22" t="s">
        <v>7</v>
      </c>
      <c r="KS23" s="22" t="s">
        <v>8</v>
      </c>
      <c r="KT23" s="22" t="s">
        <v>18</v>
      </c>
      <c r="KU23" s="22" t="s">
        <v>24</v>
      </c>
      <c r="KV23" s="22" t="s">
        <v>11</v>
      </c>
      <c r="KW23" s="22" t="s">
        <v>12</v>
      </c>
      <c r="KX23" s="22" t="s">
        <v>20</v>
      </c>
      <c r="KY23" s="22" t="s">
        <v>14</v>
      </c>
      <c r="KZ23" s="22" t="s">
        <v>16</v>
      </c>
      <c r="LA23" s="22" t="s">
        <v>4</v>
      </c>
      <c r="LB23" s="22" t="s">
        <v>27</v>
      </c>
      <c r="LC23" s="22" t="s">
        <v>6</v>
      </c>
      <c r="LD23" s="22" t="s">
        <v>7</v>
      </c>
      <c r="LE23" s="22" t="s">
        <v>8</v>
      </c>
      <c r="LF23" s="22" t="s">
        <v>9</v>
      </c>
      <c r="LG23" s="22" t="s">
        <v>24</v>
      </c>
      <c r="LH23" s="22" t="s">
        <v>11</v>
      </c>
      <c r="LI23" s="22" t="s">
        <v>12</v>
      </c>
      <c r="LJ23" s="22" t="s">
        <v>20</v>
      </c>
      <c r="LK23" s="22" t="s">
        <v>14</v>
      </c>
      <c r="LL23" s="22" t="s">
        <v>22</v>
      </c>
      <c r="LM23" s="22" t="s">
        <v>19</v>
      </c>
      <c r="LN23" s="22" t="s">
        <v>5</v>
      </c>
      <c r="LO23" s="22" t="s">
        <v>15</v>
      </c>
      <c r="LP23" s="22" t="s">
        <v>7</v>
      </c>
      <c r="LQ23" s="22" t="s">
        <v>8</v>
      </c>
      <c r="LR23" s="22" t="s">
        <v>18</v>
      </c>
      <c r="LS23" s="22" t="s">
        <v>10</v>
      </c>
      <c r="LT23" s="22" t="s">
        <v>11</v>
      </c>
      <c r="LU23" s="22" t="s">
        <v>12</v>
      </c>
      <c r="LV23" s="22" t="s">
        <v>13</v>
      </c>
      <c r="LW23" s="22" t="s">
        <v>14</v>
      </c>
      <c r="LX23" s="22" t="s">
        <v>22</v>
      </c>
      <c r="LY23" s="22" t="s">
        <v>4</v>
      </c>
      <c r="LZ23" s="22" t="s">
        <v>5</v>
      </c>
      <c r="MA23" s="22" t="s">
        <v>6</v>
      </c>
      <c r="MB23" s="22" t="s">
        <v>17</v>
      </c>
      <c r="MC23" s="22" t="s">
        <v>8</v>
      </c>
      <c r="MD23" s="22" t="s">
        <v>18</v>
      </c>
      <c r="ME23" s="22" t="s">
        <v>24</v>
      </c>
      <c r="MF23" s="22" t="s">
        <v>11</v>
      </c>
      <c r="MG23" s="22" t="s">
        <v>101</v>
      </c>
      <c r="MH23" s="22" t="s">
        <v>20</v>
      </c>
      <c r="MI23" s="22" t="s">
        <v>14</v>
      </c>
      <c r="MJ23" s="22" t="s">
        <v>22</v>
      </c>
      <c r="MK23" s="22" t="s">
        <v>4</v>
      </c>
      <c r="ML23" s="22" t="s">
        <v>5</v>
      </c>
      <c r="MM23" s="22" t="s">
        <v>6</v>
      </c>
      <c r="MN23" s="22" t="s">
        <v>17</v>
      </c>
      <c r="MO23" s="22" t="s">
        <v>8</v>
      </c>
      <c r="MP23" s="22" t="s">
        <v>18</v>
      </c>
      <c r="MQ23" s="22" t="s">
        <v>24</v>
      </c>
      <c r="MR23" s="22" t="s">
        <v>11</v>
      </c>
      <c r="MS23" s="22" t="s">
        <v>12</v>
      </c>
      <c r="MT23" s="22" t="s">
        <v>20</v>
      </c>
      <c r="MU23" s="22" t="s">
        <v>14</v>
      </c>
      <c r="MV23" s="22" t="s">
        <v>22</v>
      </c>
      <c r="MW23" s="22" t="s">
        <v>4</v>
      </c>
      <c r="MX23" s="22" t="s">
        <v>5</v>
      </c>
      <c r="MY23" s="22" t="s">
        <v>15</v>
      </c>
      <c r="MZ23" s="22" t="s">
        <v>7</v>
      </c>
      <c r="NA23" s="22" t="s">
        <v>8</v>
      </c>
      <c r="NB23" s="22" t="s">
        <v>18</v>
      </c>
      <c r="NC23" s="22" t="s">
        <v>24</v>
      </c>
      <c r="ND23" s="22" t="s">
        <v>11</v>
      </c>
      <c r="NE23" s="22" t="s">
        <v>12</v>
      </c>
      <c r="NF23" s="22" t="s">
        <v>20</v>
      </c>
      <c r="NG23" s="22" t="s">
        <v>14</v>
      </c>
      <c r="NH23" s="22" t="s">
        <v>22</v>
      </c>
      <c r="NI23" s="22" t="s">
        <v>19</v>
      </c>
      <c r="NJ23" s="22" t="s">
        <v>27</v>
      </c>
      <c r="NK23" s="22" t="s">
        <v>6</v>
      </c>
      <c r="NL23" s="22" t="s">
        <v>7</v>
      </c>
      <c r="NM23" s="22" t="s">
        <v>8</v>
      </c>
      <c r="NN23" s="22" t="s">
        <v>9</v>
      </c>
      <c r="NO23" s="22" t="s">
        <v>10</v>
      </c>
      <c r="NP23" s="22" t="s">
        <v>11</v>
      </c>
      <c r="NQ23" s="22" t="s">
        <v>12</v>
      </c>
      <c r="NR23" s="22" t="s">
        <v>20</v>
      </c>
      <c r="NS23" s="22" t="s">
        <v>14</v>
      </c>
      <c r="NT23" s="22" t="s">
        <v>16</v>
      </c>
      <c r="NU23" s="22" t="s">
        <v>19</v>
      </c>
      <c r="NV23" s="22" t="s">
        <v>5</v>
      </c>
      <c r="NW23" s="22" t="s">
        <v>6</v>
      </c>
      <c r="NX23" s="22" t="s">
        <v>7</v>
      </c>
      <c r="NY23" s="22" t="s">
        <v>8</v>
      </c>
      <c r="NZ23" s="22" t="s">
        <v>18</v>
      </c>
      <c r="OA23" s="22" t="s">
        <v>24</v>
      </c>
      <c r="OB23" s="22" t="s">
        <v>11</v>
      </c>
      <c r="OC23" s="22" t="s">
        <v>12</v>
      </c>
      <c r="OD23" s="22" t="s">
        <v>13</v>
      </c>
      <c r="OE23" s="22" t="s">
        <v>14</v>
      </c>
      <c r="OF23" s="22" t="s">
        <v>16</v>
      </c>
      <c r="OG23" s="22" t="s">
        <v>4</v>
      </c>
      <c r="OH23" s="22" t="s">
        <v>5</v>
      </c>
      <c r="OI23" s="22" t="s">
        <v>15</v>
      </c>
      <c r="OJ23" s="22" t="s">
        <v>7</v>
      </c>
      <c r="OK23" s="22" t="s">
        <v>8</v>
      </c>
      <c r="OL23" s="22" t="s">
        <v>18</v>
      </c>
    </row>
    <row r="24" spans="1:402" s="145" customFormat="1" ht="19.5" customHeight="1" x14ac:dyDescent="0.35">
      <c r="A24" s="12" t="s">
        <v>29</v>
      </c>
      <c r="B24" s="156">
        <f>'[1]Sept 07'!C5</f>
        <v>2409</v>
      </c>
      <c r="C24" s="156">
        <f>'[1]Oct 07'!C5</f>
        <v>2452</v>
      </c>
      <c r="D24" s="156">
        <f>'[1]Nov 07'!C5</f>
        <v>2471</v>
      </c>
      <c r="E24" s="156">
        <f>'[1]Dec 07'!C5</f>
        <v>2331</v>
      </c>
      <c r="F24" s="156">
        <f>'[1]Jan 08'!C5</f>
        <v>2555</v>
      </c>
      <c r="G24" s="143">
        <f>'[1]Feb 08'!C5</f>
        <v>2602</v>
      </c>
      <c r="H24" s="143">
        <f>'[1]Mar 08'!C5</f>
        <v>2646</v>
      </c>
      <c r="I24" s="143">
        <v>2598</v>
      </c>
      <c r="J24" s="143">
        <f>'[1]May 08'!C5</f>
        <v>2458</v>
      </c>
      <c r="K24" s="143">
        <f>'[1]Jun 08'!C5</f>
        <v>2452</v>
      </c>
      <c r="L24" s="143">
        <f>'[1]Jul 08'!C5</f>
        <v>2448</v>
      </c>
      <c r="M24" s="143">
        <f>'[1]Aug 08'!C5</f>
        <v>2446</v>
      </c>
      <c r="N24" s="143">
        <v>2410</v>
      </c>
      <c r="O24" s="143">
        <v>2495</v>
      </c>
      <c r="P24" s="143">
        <v>2562</v>
      </c>
      <c r="Q24" s="143">
        <v>2347</v>
      </c>
      <c r="R24" s="143">
        <v>2472</v>
      </c>
      <c r="S24" s="143">
        <v>2514</v>
      </c>
      <c r="T24" s="143">
        <v>2483</v>
      </c>
      <c r="U24" s="143">
        <v>2294</v>
      </c>
      <c r="V24" s="143">
        <v>1989</v>
      </c>
      <c r="W24" s="143">
        <v>1833</v>
      </c>
      <c r="X24" s="143">
        <v>1784</v>
      </c>
      <c r="Y24" s="143">
        <v>1774</v>
      </c>
      <c r="Z24" s="143">
        <v>1851</v>
      </c>
      <c r="AA24" s="143">
        <v>1896</v>
      </c>
      <c r="AB24" s="143">
        <v>1908</v>
      </c>
      <c r="AC24" s="143">
        <v>1803</v>
      </c>
      <c r="AD24" s="143">
        <v>1949</v>
      </c>
      <c r="AE24" s="143">
        <v>1946</v>
      </c>
      <c r="AF24" s="143">
        <v>1937</v>
      </c>
      <c r="AG24" s="143">
        <v>1907</v>
      </c>
      <c r="AH24" s="143">
        <v>1833</v>
      </c>
      <c r="AI24" s="143">
        <v>1814</v>
      </c>
      <c r="AJ24" s="143">
        <v>1854</v>
      </c>
      <c r="AK24" s="143">
        <v>1917</v>
      </c>
      <c r="AL24" s="143">
        <v>2023</v>
      </c>
      <c r="AM24" s="143">
        <v>2003</v>
      </c>
      <c r="AN24" s="143">
        <v>1955</v>
      </c>
      <c r="AO24" s="143">
        <v>1878</v>
      </c>
      <c r="AP24" s="143">
        <v>1880</v>
      </c>
      <c r="AQ24" s="143">
        <v>1800</v>
      </c>
      <c r="AR24" s="143">
        <v>1659</v>
      </c>
      <c r="AS24" s="143">
        <v>1505</v>
      </c>
      <c r="AT24" s="143">
        <v>1322</v>
      </c>
      <c r="AU24" s="143">
        <v>1224</v>
      </c>
      <c r="AV24" s="143">
        <v>1143</v>
      </c>
      <c r="AW24" s="143">
        <v>1105</v>
      </c>
      <c r="AX24" s="143">
        <v>1127</v>
      </c>
      <c r="AY24" s="143">
        <v>1213</v>
      </c>
      <c r="AZ24" s="143">
        <v>1205</v>
      </c>
      <c r="BA24" s="143">
        <v>1129</v>
      </c>
      <c r="BB24" s="143">
        <v>1157</v>
      </c>
      <c r="BC24" s="143">
        <v>1119</v>
      </c>
      <c r="BD24" s="143">
        <v>1007</v>
      </c>
      <c r="BE24" s="143">
        <v>865</v>
      </c>
      <c r="BF24" s="143">
        <v>850</v>
      </c>
      <c r="BG24" s="143">
        <v>830</v>
      </c>
      <c r="BH24" s="143">
        <v>816</v>
      </c>
      <c r="BI24" s="143">
        <v>831</v>
      </c>
      <c r="BJ24" s="143">
        <v>877</v>
      </c>
      <c r="BK24" s="143">
        <v>1005</v>
      </c>
      <c r="BL24" s="143">
        <v>1052</v>
      </c>
      <c r="BM24" s="143">
        <v>946</v>
      </c>
      <c r="BN24" s="143">
        <v>993</v>
      </c>
      <c r="BO24" s="143">
        <v>980</v>
      </c>
      <c r="BP24" s="143">
        <v>1005</v>
      </c>
      <c r="BQ24" s="143">
        <v>948</v>
      </c>
      <c r="BR24" s="143">
        <v>929</v>
      </c>
      <c r="BS24" s="143">
        <v>898</v>
      </c>
      <c r="BT24" s="143">
        <v>917</v>
      </c>
      <c r="BU24" s="143">
        <v>987</v>
      </c>
      <c r="BV24" s="143">
        <v>1098</v>
      </c>
      <c r="BW24" s="143">
        <v>1303</v>
      </c>
      <c r="BX24" s="143">
        <v>1278</v>
      </c>
      <c r="BY24" s="143">
        <v>1224</v>
      </c>
      <c r="BZ24" s="143">
        <v>1465</v>
      </c>
      <c r="CA24" s="143">
        <v>1578</v>
      </c>
      <c r="CB24" s="143">
        <v>1644</v>
      </c>
      <c r="CC24" s="143">
        <v>1646</v>
      </c>
      <c r="CD24" s="143">
        <v>1612</v>
      </c>
      <c r="CE24" s="143">
        <v>1463</v>
      </c>
      <c r="CF24" s="143">
        <v>1366</v>
      </c>
      <c r="CG24" s="143">
        <v>1296</v>
      </c>
      <c r="CH24" s="143">
        <v>1282</v>
      </c>
      <c r="CI24" s="143">
        <v>1398</v>
      </c>
      <c r="CJ24" s="143">
        <v>1406</v>
      </c>
      <c r="CK24" s="143">
        <v>1281</v>
      </c>
      <c r="CL24" s="143">
        <v>1437</v>
      </c>
      <c r="CM24" s="143">
        <v>1449</v>
      </c>
      <c r="CN24" s="143">
        <v>1448</v>
      </c>
      <c r="CO24" s="143">
        <v>1483</v>
      </c>
      <c r="CP24" s="143">
        <v>1391</v>
      </c>
      <c r="CQ24" s="143">
        <v>1301</v>
      </c>
      <c r="CR24" s="143">
        <v>1242</v>
      </c>
      <c r="CS24" s="143">
        <v>1158</v>
      </c>
      <c r="CT24" s="143">
        <v>1191</v>
      </c>
      <c r="CU24" s="143">
        <v>1321</v>
      </c>
      <c r="CV24" s="143">
        <v>1326</v>
      </c>
      <c r="CW24" s="143">
        <v>1230</v>
      </c>
      <c r="CX24" s="143">
        <v>1449</v>
      </c>
      <c r="CY24" s="143">
        <v>1618</v>
      </c>
      <c r="CZ24" s="143">
        <v>1611</v>
      </c>
      <c r="DA24" s="143">
        <v>1588</v>
      </c>
      <c r="DB24" s="143">
        <v>1506</v>
      </c>
      <c r="DC24" s="143">
        <v>1372</v>
      </c>
      <c r="DD24" s="143">
        <v>1260</v>
      </c>
      <c r="DE24" s="143">
        <v>1154</v>
      </c>
      <c r="DF24" s="143">
        <v>1211</v>
      </c>
      <c r="DG24" s="143">
        <v>1333</v>
      </c>
      <c r="DH24" s="143">
        <v>1333</v>
      </c>
      <c r="DI24" s="143">
        <v>1224</v>
      </c>
      <c r="DJ24" s="143">
        <v>1278</v>
      </c>
      <c r="DK24" s="143">
        <v>1333</v>
      </c>
      <c r="DL24" s="143">
        <v>1420</v>
      </c>
      <c r="DM24" s="143">
        <v>1336</v>
      </c>
      <c r="DN24" s="143">
        <v>1267</v>
      </c>
      <c r="DO24" s="143">
        <v>1177</v>
      </c>
      <c r="DP24" s="143">
        <v>1104</v>
      </c>
      <c r="DQ24" s="143">
        <v>1089</v>
      </c>
      <c r="DR24" s="143">
        <v>1132</v>
      </c>
      <c r="DS24" s="143">
        <v>1173</v>
      </c>
      <c r="DT24" s="143">
        <v>1125</v>
      </c>
      <c r="DU24" s="143">
        <v>1016</v>
      </c>
      <c r="DV24" s="143">
        <v>1089</v>
      </c>
      <c r="DW24" s="143">
        <v>1071</v>
      </c>
      <c r="DX24" s="143">
        <v>1122</v>
      </c>
      <c r="DY24" s="143">
        <v>1104</v>
      </c>
      <c r="DZ24" s="143">
        <v>990</v>
      </c>
      <c r="EA24" s="143">
        <v>939</v>
      </c>
      <c r="EB24" s="143">
        <v>850</v>
      </c>
      <c r="EC24" s="143">
        <v>897</v>
      </c>
      <c r="ED24" s="143">
        <v>930</v>
      </c>
      <c r="EE24" s="143">
        <v>994</v>
      </c>
      <c r="EF24" s="143">
        <v>976</v>
      </c>
      <c r="EG24" s="143">
        <v>913</v>
      </c>
      <c r="EH24" s="143">
        <v>1025</v>
      </c>
      <c r="EI24" s="143">
        <v>1089</v>
      </c>
      <c r="EJ24" s="143">
        <v>1108</v>
      </c>
      <c r="EK24" s="143">
        <v>1054</v>
      </c>
      <c r="EL24" s="143">
        <v>975</v>
      </c>
      <c r="EM24" s="143">
        <v>860</v>
      </c>
      <c r="EN24" s="143">
        <v>706</v>
      </c>
      <c r="EO24" s="143">
        <v>639</v>
      </c>
      <c r="EP24" s="143">
        <v>618</v>
      </c>
      <c r="EQ24" s="143">
        <v>652</v>
      </c>
      <c r="ER24" s="143">
        <v>623</v>
      </c>
      <c r="ES24" s="143">
        <v>548</v>
      </c>
      <c r="ET24" s="143">
        <v>514</v>
      </c>
      <c r="EU24" s="143">
        <v>477</v>
      </c>
      <c r="EV24" s="143">
        <v>626</v>
      </c>
      <c r="EW24" s="143">
        <v>662</v>
      </c>
      <c r="EX24" s="143">
        <v>555</v>
      </c>
      <c r="EY24" s="143">
        <v>435</v>
      </c>
      <c r="EZ24" s="143">
        <v>394</v>
      </c>
      <c r="FA24" s="143">
        <v>352</v>
      </c>
      <c r="FB24" s="143">
        <v>393</v>
      </c>
      <c r="FC24" s="143">
        <v>369</v>
      </c>
      <c r="FD24" s="143">
        <v>285</v>
      </c>
      <c r="FE24" s="143">
        <v>191</v>
      </c>
      <c r="FF24" s="143">
        <v>141</v>
      </c>
      <c r="FG24" s="143">
        <v>113</v>
      </c>
      <c r="FH24" s="143">
        <v>119</v>
      </c>
      <c r="FI24" s="143">
        <v>176</v>
      </c>
      <c r="FJ24" s="143">
        <v>147</v>
      </c>
      <c r="FK24" s="143">
        <v>190</v>
      </c>
      <c r="FL24" s="143">
        <v>217</v>
      </c>
      <c r="FM24" s="143">
        <v>222</v>
      </c>
      <c r="FN24" s="143">
        <v>255</v>
      </c>
      <c r="FO24" s="143">
        <v>202</v>
      </c>
      <c r="FP24" s="143">
        <v>171</v>
      </c>
      <c r="FQ24" s="143">
        <v>124</v>
      </c>
      <c r="FR24" s="143">
        <v>89</v>
      </c>
      <c r="FS24" s="143">
        <v>90</v>
      </c>
      <c r="FT24" s="143">
        <v>87</v>
      </c>
      <c r="FU24" s="143">
        <v>110</v>
      </c>
      <c r="FV24" s="143">
        <v>227</v>
      </c>
      <c r="FW24" s="143">
        <v>353</v>
      </c>
      <c r="FX24" s="143">
        <v>450</v>
      </c>
      <c r="FY24" s="143">
        <v>426</v>
      </c>
      <c r="FZ24" s="143">
        <v>448</v>
      </c>
      <c r="GA24" s="143">
        <v>469</v>
      </c>
      <c r="GB24" s="143">
        <v>419</v>
      </c>
      <c r="GC24" s="143">
        <v>342</v>
      </c>
      <c r="GD24" s="143">
        <v>367</v>
      </c>
      <c r="GE24" s="143">
        <v>349</v>
      </c>
      <c r="GF24" s="143">
        <v>348</v>
      </c>
      <c r="GG24" s="143">
        <v>311</v>
      </c>
      <c r="GH24" s="143">
        <v>287</v>
      </c>
      <c r="GI24" s="143">
        <v>276</v>
      </c>
      <c r="GJ24" s="143">
        <v>308</v>
      </c>
      <c r="GK24" s="143">
        <v>294</v>
      </c>
      <c r="GL24" s="143">
        <v>313</v>
      </c>
      <c r="GM24" s="143">
        <v>355</v>
      </c>
      <c r="GN24" s="143">
        <v>325</v>
      </c>
      <c r="GO24" s="143">
        <v>258</v>
      </c>
      <c r="GP24" s="143">
        <v>309</v>
      </c>
      <c r="GQ24" s="143">
        <v>314</v>
      </c>
      <c r="GR24" s="143">
        <v>307</v>
      </c>
      <c r="GS24" s="143">
        <f>SUM(B24:GR24)/198</f>
        <v>1158.4949494949494</v>
      </c>
      <c r="GT24" s="152"/>
      <c r="GU24" s="12" t="s">
        <v>29</v>
      </c>
      <c r="GV24" s="145" t="s">
        <v>30</v>
      </c>
      <c r="GW24" s="145">
        <f t="shared" ref="GW24:IB24" si="25">(C24-B24)/B24</f>
        <v>1.7849730178497301E-2</v>
      </c>
      <c r="GX24" s="145">
        <f t="shared" si="25"/>
        <v>7.7487765089722677E-3</v>
      </c>
      <c r="GY24" s="145">
        <f t="shared" si="25"/>
        <v>-5.6657223796033995E-2</v>
      </c>
      <c r="GZ24" s="145">
        <f t="shared" si="25"/>
        <v>9.6096096096096095E-2</v>
      </c>
      <c r="HA24" s="145">
        <f t="shared" si="25"/>
        <v>1.8395303326810174E-2</v>
      </c>
      <c r="HB24" s="145">
        <f t="shared" si="25"/>
        <v>1.6910069177555727E-2</v>
      </c>
      <c r="HC24" s="145">
        <f t="shared" si="25"/>
        <v>-1.8140589569160998E-2</v>
      </c>
      <c r="HD24" s="145">
        <f t="shared" si="25"/>
        <v>-5.3887605850654351E-2</v>
      </c>
      <c r="HE24" s="145">
        <f t="shared" si="25"/>
        <v>-2.4410089503661514E-3</v>
      </c>
      <c r="HF24" s="145">
        <f t="shared" si="25"/>
        <v>-1.6313213703099511E-3</v>
      </c>
      <c r="HG24" s="145">
        <f t="shared" si="25"/>
        <v>-8.1699346405228761E-4</v>
      </c>
      <c r="HH24" s="145">
        <f t="shared" si="25"/>
        <v>-1.4717906786590351E-2</v>
      </c>
      <c r="HI24" s="145">
        <f t="shared" si="25"/>
        <v>3.5269709543568464E-2</v>
      </c>
      <c r="HJ24" s="145">
        <f t="shared" si="25"/>
        <v>2.6853707414829658E-2</v>
      </c>
      <c r="HK24" s="145">
        <f t="shared" si="25"/>
        <v>-8.3918813427010144E-2</v>
      </c>
      <c r="HL24" s="145">
        <f t="shared" si="25"/>
        <v>5.3259480187473368E-2</v>
      </c>
      <c r="HM24" s="145">
        <f t="shared" si="25"/>
        <v>1.6990291262135922E-2</v>
      </c>
      <c r="HN24" s="145">
        <f t="shared" si="25"/>
        <v>-1.2330946698488464E-2</v>
      </c>
      <c r="HO24" s="145">
        <f t="shared" si="25"/>
        <v>-7.6117599677809109E-2</v>
      </c>
      <c r="HP24" s="145">
        <f t="shared" si="25"/>
        <v>-0.13295553618134262</v>
      </c>
      <c r="HQ24" s="145">
        <f t="shared" si="25"/>
        <v>-7.8431372549019607E-2</v>
      </c>
      <c r="HR24" s="145">
        <f t="shared" si="25"/>
        <v>-2.6732133115111838E-2</v>
      </c>
      <c r="HS24" s="145">
        <f t="shared" si="25"/>
        <v>-5.6053811659192822E-3</v>
      </c>
      <c r="HT24" s="145">
        <f t="shared" si="25"/>
        <v>4.3404735062006768E-2</v>
      </c>
      <c r="HU24" s="145">
        <f t="shared" si="25"/>
        <v>2.4311183144246355E-2</v>
      </c>
      <c r="HV24" s="145">
        <f t="shared" si="25"/>
        <v>6.3291139240506328E-3</v>
      </c>
      <c r="HW24" s="145">
        <f t="shared" si="25"/>
        <v>-5.5031446540880505E-2</v>
      </c>
      <c r="HX24" s="145">
        <f t="shared" si="25"/>
        <v>8.0976150859678311E-2</v>
      </c>
      <c r="HY24" s="145">
        <f t="shared" si="25"/>
        <v>-1.5392508978963571E-3</v>
      </c>
      <c r="HZ24" s="145">
        <f t="shared" si="25"/>
        <v>-4.6248715313463515E-3</v>
      </c>
      <c r="IA24" s="145">
        <f t="shared" si="25"/>
        <v>-1.5487867836861126E-2</v>
      </c>
      <c r="IB24" s="145">
        <f t="shared" si="25"/>
        <v>-3.8804404824331409E-2</v>
      </c>
      <c r="IC24" s="145">
        <f t="shared" ref="IC24:JH24" si="26">(AI24-AH24)/AH24</f>
        <v>-1.0365521003818877E-2</v>
      </c>
      <c r="ID24" s="145">
        <f t="shared" si="26"/>
        <v>2.2050716648291068E-2</v>
      </c>
      <c r="IE24" s="145">
        <f t="shared" si="26"/>
        <v>3.3980582524271843E-2</v>
      </c>
      <c r="IF24" s="145">
        <f t="shared" si="26"/>
        <v>5.5294731351069382E-2</v>
      </c>
      <c r="IG24" s="145">
        <f t="shared" si="26"/>
        <v>-9.8863074641621362E-3</v>
      </c>
      <c r="IH24" s="145">
        <f t="shared" si="26"/>
        <v>-2.3964053919121316E-2</v>
      </c>
      <c r="II24" s="145">
        <f t="shared" si="26"/>
        <v>-3.938618925831202E-2</v>
      </c>
      <c r="IJ24" s="145">
        <f t="shared" si="26"/>
        <v>1.0649627263045794E-3</v>
      </c>
      <c r="IK24" s="145">
        <f t="shared" si="26"/>
        <v>-4.2553191489361701E-2</v>
      </c>
      <c r="IL24" s="145">
        <f t="shared" si="26"/>
        <v>-7.8333333333333338E-2</v>
      </c>
      <c r="IM24" s="145">
        <f t="shared" si="26"/>
        <v>-9.2827004219409287E-2</v>
      </c>
      <c r="IN24" s="145">
        <f t="shared" si="26"/>
        <v>-0.12159468438538205</v>
      </c>
      <c r="IO24" s="145">
        <f t="shared" si="26"/>
        <v>-7.4130105900151289E-2</v>
      </c>
      <c r="IP24" s="145">
        <f t="shared" si="26"/>
        <v>-6.6176470588235295E-2</v>
      </c>
      <c r="IQ24" s="145">
        <f t="shared" si="26"/>
        <v>-3.3245844269466314E-2</v>
      </c>
      <c r="IR24" s="145">
        <f t="shared" si="26"/>
        <v>1.9909502262443438E-2</v>
      </c>
      <c r="IS24" s="145">
        <f t="shared" si="26"/>
        <v>7.6308784383318548E-2</v>
      </c>
      <c r="IT24" s="145">
        <f t="shared" si="26"/>
        <v>-6.5952184666117067E-3</v>
      </c>
      <c r="IU24" s="145">
        <f t="shared" si="26"/>
        <v>-6.3070539419087135E-2</v>
      </c>
      <c r="IV24" s="145">
        <f t="shared" si="26"/>
        <v>2.4800708591674048E-2</v>
      </c>
      <c r="IW24" s="145">
        <f t="shared" si="26"/>
        <v>-3.2843560933448576E-2</v>
      </c>
      <c r="IX24" s="145">
        <f t="shared" si="26"/>
        <v>-0.10008936550491511</v>
      </c>
      <c r="IY24" s="145">
        <f t="shared" si="26"/>
        <v>-0.14101290963257199</v>
      </c>
      <c r="IZ24" s="145">
        <f t="shared" si="26"/>
        <v>-1.7341040462427744E-2</v>
      </c>
      <c r="JA24" s="145">
        <f t="shared" si="26"/>
        <v>-2.3529411764705882E-2</v>
      </c>
      <c r="JB24" s="145">
        <f t="shared" si="26"/>
        <v>-1.6867469879518072E-2</v>
      </c>
      <c r="JC24" s="145">
        <f t="shared" si="26"/>
        <v>1.8382352941176471E-2</v>
      </c>
      <c r="JD24" s="145">
        <f t="shared" si="26"/>
        <v>5.5354993983152828E-2</v>
      </c>
      <c r="JE24" s="145">
        <f t="shared" si="26"/>
        <v>0.1459521094640821</v>
      </c>
      <c r="JF24" s="145">
        <f t="shared" si="26"/>
        <v>4.6766169154228855E-2</v>
      </c>
      <c r="JG24" s="145">
        <f t="shared" si="26"/>
        <v>-0.10076045627376426</v>
      </c>
      <c r="JH24" s="145">
        <f t="shared" si="26"/>
        <v>4.9682875264270614E-2</v>
      </c>
      <c r="JI24" s="145">
        <f t="shared" ref="JI24:KN24" si="27">(BO24-BN24)/BN24</f>
        <v>-1.3091641490433032E-2</v>
      </c>
      <c r="JJ24" s="145">
        <f t="shared" si="27"/>
        <v>2.5510204081632654E-2</v>
      </c>
      <c r="JK24" s="145">
        <f t="shared" si="27"/>
        <v>-5.6716417910447764E-2</v>
      </c>
      <c r="JL24" s="145">
        <f t="shared" si="27"/>
        <v>-2.0042194092827006E-2</v>
      </c>
      <c r="JM24" s="145">
        <f t="shared" si="27"/>
        <v>-3.3369214208826693E-2</v>
      </c>
      <c r="JN24" s="145">
        <f t="shared" si="27"/>
        <v>2.1158129175946547E-2</v>
      </c>
      <c r="JO24" s="145">
        <f t="shared" si="27"/>
        <v>7.6335877862595422E-2</v>
      </c>
      <c r="JP24" s="145">
        <f t="shared" si="27"/>
        <v>0.11246200607902736</v>
      </c>
      <c r="JQ24" s="145">
        <f t="shared" si="27"/>
        <v>0.18670309653916212</v>
      </c>
      <c r="JR24" s="145">
        <f t="shared" si="27"/>
        <v>-1.9186492709132769E-2</v>
      </c>
      <c r="JS24" s="145">
        <f t="shared" si="27"/>
        <v>-4.2253521126760563E-2</v>
      </c>
      <c r="JT24" s="145">
        <f t="shared" si="27"/>
        <v>0.1968954248366013</v>
      </c>
      <c r="JU24" s="145">
        <f t="shared" si="27"/>
        <v>7.7133105802047783E-2</v>
      </c>
      <c r="JV24" s="145">
        <f t="shared" si="27"/>
        <v>4.1825095057034217E-2</v>
      </c>
      <c r="JW24" s="145">
        <f t="shared" si="27"/>
        <v>1.2165450121654502E-3</v>
      </c>
      <c r="JX24" s="145">
        <f t="shared" si="27"/>
        <v>-2.0656136087484813E-2</v>
      </c>
      <c r="JY24" s="145">
        <f t="shared" si="27"/>
        <v>-9.2431761786600494E-2</v>
      </c>
      <c r="JZ24" s="145">
        <f t="shared" si="27"/>
        <v>-6.6302118933697876E-2</v>
      </c>
      <c r="KA24" s="145">
        <f t="shared" si="27"/>
        <v>-5.1244509516837483E-2</v>
      </c>
      <c r="KB24" s="145">
        <f t="shared" si="27"/>
        <v>-1.0802469135802469E-2</v>
      </c>
      <c r="KC24" s="145">
        <f t="shared" si="27"/>
        <v>9.0483619344773794E-2</v>
      </c>
      <c r="KD24" s="145">
        <f t="shared" si="27"/>
        <v>5.7224606580829757E-3</v>
      </c>
      <c r="KE24" s="145">
        <f t="shared" si="27"/>
        <v>-8.8904694167852058E-2</v>
      </c>
      <c r="KF24" s="145">
        <f t="shared" si="27"/>
        <v>0.12177985948477751</v>
      </c>
      <c r="KG24" s="145">
        <f t="shared" si="27"/>
        <v>8.350730688935281E-3</v>
      </c>
      <c r="KH24" s="145">
        <f t="shared" si="27"/>
        <v>-6.9013112491373362E-4</v>
      </c>
      <c r="KI24" s="145">
        <f t="shared" si="27"/>
        <v>2.4171270718232045E-2</v>
      </c>
      <c r="KJ24" s="145">
        <f t="shared" si="27"/>
        <v>-6.2036412677006068E-2</v>
      </c>
      <c r="KK24" s="145">
        <f t="shared" si="27"/>
        <v>-6.470165348670022E-2</v>
      </c>
      <c r="KL24" s="145">
        <f t="shared" si="27"/>
        <v>-4.5349730976172176E-2</v>
      </c>
      <c r="KM24" s="145">
        <f t="shared" si="27"/>
        <v>-6.7632850241545889E-2</v>
      </c>
      <c r="KN24" s="145">
        <f t="shared" si="27"/>
        <v>2.8497409326424871E-2</v>
      </c>
      <c r="KO24" s="145">
        <f t="shared" ref="KO24:LT24" si="28">(CU24-CT24)/CT24</f>
        <v>0.109151973131822</v>
      </c>
      <c r="KP24" s="145">
        <f t="shared" si="28"/>
        <v>3.7850113550340651E-3</v>
      </c>
      <c r="KQ24" s="145">
        <f t="shared" si="28"/>
        <v>-7.2398190045248875E-2</v>
      </c>
      <c r="KR24" s="145">
        <f t="shared" si="28"/>
        <v>0.17804878048780487</v>
      </c>
      <c r="KS24" s="145">
        <f t="shared" si="28"/>
        <v>0.11663216011042098</v>
      </c>
      <c r="KT24" s="145">
        <f t="shared" si="28"/>
        <v>-4.326328800988875E-3</v>
      </c>
      <c r="KU24" s="145">
        <f t="shared" si="28"/>
        <v>-1.4276846679081317E-2</v>
      </c>
      <c r="KV24" s="145">
        <f t="shared" si="28"/>
        <v>-5.163727959697733E-2</v>
      </c>
      <c r="KW24" s="145">
        <f t="shared" si="28"/>
        <v>-8.8977423638778225E-2</v>
      </c>
      <c r="KX24" s="145">
        <f t="shared" si="28"/>
        <v>-8.1632653061224483E-2</v>
      </c>
      <c r="KY24" s="145">
        <f t="shared" si="28"/>
        <v>-8.4126984126984133E-2</v>
      </c>
      <c r="KZ24" s="145">
        <f t="shared" si="28"/>
        <v>4.9393414211438474E-2</v>
      </c>
      <c r="LA24" s="145">
        <f t="shared" si="28"/>
        <v>0.10074318744838975</v>
      </c>
      <c r="LB24" s="145">
        <f t="shared" si="28"/>
        <v>0</v>
      </c>
      <c r="LC24" s="145">
        <f t="shared" si="28"/>
        <v>-8.1770442610652666E-2</v>
      </c>
      <c r="LD24" s="145">
        <f t="shared" si="28"/>
        <v>4.4117647058823532E-2</v>
      </c>
      <c r="LE24" s="145">
        <f t="shared" si="28"/>
        <v>4.3035993740219089E-2</v>
      </c>
      <c r="LF24" s="145">
        <f t="shared" si="28"/>
        <v>6.5266316579144792E-2</v>
      </c>
      <c r="LG24" s="145">
        <f t="shared" si="28"/>
        <v>-5.9154929577464786E-2</v>
      </c>
      <c r="LH24" s="145">
        <f t="shared" si="28"/>
        <v>-5.1646706586826345E-2</v>
      </c>
      <c r="LI24" s="145">
        <f t="shared" si="28"/>
        <v>-7.1033938437253349E-2</v>
      </c>
      <c r="LJ24" s="145">
        <f t="shared" si="28"/>
        <v>-6.2022090059473234E-2</v>
      </c>
      <c r="LK24" s="145">
        <f t="shared" si="28"/>
        <v>-1.358695652173913E-2</v>
      </c>
      <c r="LL24" s="145">
        <f t="shared" si="28"/>
        <v>3.948576675849403E-2</v>
      </c>
      <c r="LM24" s="145">
        <f t="shared" si="28"/>
        <v>3.6219081272084806E-2</v>
      </c>
      <c r="LN24" s="145">
        <f t="shared" si="28"/>
        <v>-4.0920716112531973E-2</v>
      </c>
      <c r="LO24" s="145">
        <f t="shared" si="28"/>
        <v>-9.6888888888888886E-2</v>
      </c>
      <c r="LP24" s="145">
        <f t="shared" si="28"/>
        <v>7.1850393700787399E-2</v>
      </c>
      <c r="LQ24" s="145">
        <f t="shared" si="28"/>
        <v>-1.6528925619834711E-2</v>
      </c>
      <c r="LR24" s="145">
        <f t="shared" si="28"/>
        <v>4.7619047619047616E-2</v>
      </c>
      <c r="LS24" s="145">
        <f t="shared" si="28"/>
        <v>-1.6042780748663103E-2</v>
      </c>
      <c r="LT24" s="145">
        <f t="shared" si="28"/>
        <v>-0.10326086956521739</v>
      </c>
      <c r="LU24" s="145">
        <f t="shared" ref="LU24:MR24" si="29">(EA24-DZ24)/DZ24</f>
        <v>-5.1515151515151514E-2</v>
      </c>
      <c r="LV24" s="145">
        <f t="shared" si="29"/>
        <v>-9.4781682641107562E-2</v>
      </c>
      <c r="LW24" s="145">
        <f t="shared" si="29"/>
        <v>5.5294117647058827E-2</v>
      </c>
      <c r="LX24" s="145">
        <f t="shared" si="29"/>
        <v>3.678929765886288E-2</v>
      </c>
      <c r="LY24" s="145">
        <f t="shared" si="29"/>
        <v>6.8817204301075269E-2</v>
      </c>
      <c r="LZ24" s="145">
        <f t="shared" si="29"/>
        <v>-1.8108651911468814E-2</v>
      </c>
      <c r="MA24" s="145">
        <f t="shared" si="29"/>
        <v>-6.4549180327868855E-2</v>
      </c>
      <c r="MB24" s="145">
        <f t="shared" si="29"/>
        <v>0.12267250821467689</v>
      </c>
      <c r="MC24" s="145">
        <f t="shared" si="29"/>
        <v>6.2439024390243902E-2</v>
      </c>
      <c r="MD24" s="145">
        <f t="shared" si="29"/>
        <v>1.7447199265381085E-2</v>
      </c>
      <c r="ME24" s="145">
        <f t="shared" si="29"/>
        <v>-4.8736462093862815E-2</v>
      </c>
      <c r="MF24" s="145">
        <f t="shared" si="29"/>
        <v>-7.4952561669829221E-2</v>
      </c>
      <c r="MG24" s="145">
        <f t="shared" si="29"/>
        <v>-0.11794871794871795</v>
      </c>
      <c r="MH24" s="145">
        <f t="shared" si="29"/>
        <v>-0.17906976744186046</v>
      </c>
      <c r="MI24" s="145">
        <f t="shared" si="29"/>
        <v>-9.4900849858356937E-2</v>
      </c>
      <c r="MJ24" s="145">
        <f t="shared" si="29"/>
        <v>-3.2863849765258218E-2</v>
      </c>
      <c r="MK24" s="145">
        <f t="shared" si="29"/>
        <v>5.5016181229773461E-2</v>
      </c>
      <c r="ML24" s="145">
        <f t="shared" si="29"/>
        <v>-4.4478527607361963E-2</v>
      </c>
      <c r="MM24" s="145">
        <f t="shared" si="29"/>
        <v>-0.12038523274478331</v>
      </c>
      <c r="MN24" s="145">
        <f t="shared" si="29"/>
        <v>-6.2043795620437957E-2</v>
      </c>
      <c r="MO24" s="145">
        <f t="shared" si="29"/>
        <v>-7.1984435797665364E-2</v>
      </c>
      <c r="MP24" s="145">
        <f t="shared" si="29"/>
        <v>0.31236897274633124</v>
      </c>
      <c r="MQ24" s="145">
        <f t="shared" si="29"/>
        <v>5.7507987220447282E-2</v>
      </c>
      <c r="MR24" s="145">
        <f t="shared" si="29"/>
        <v>-0.16163141993957703</v>
      </c>
      <c r="MS24" s="145">
        <f>(EZ24-EY24)/EY24</f>
        <v>-9.4252873563218389E-2</v>
      </c>
      <c r="MT24" s="145">
        <f t="shared" ref="MT24:NC28" si="30">(EZ24-EY24)/EZ24</f>
        <v>-0.10406091370558376</v>
      </c>
      <c r="MU24" s="145">
        <f t="shared" si="30"/>
        <v>-0.11931818181818182</v>
      </c>
      <c r="MV24" s="145">
        <f t="shared" si="30"/>
        <v>0.10432569974554708</v>
      </c>
      <c r="MW24" s="145">
        <f t="shared" si="30"/>
        <v>-6.5040650406504072E-2</v>
      </c>
      <c r="MX24" s="145">
        <f t="shared" si="30"/>
        <v>-0.29473684210526313</v>
      </c>
      <c r="MY24" s="145">
        <f t="shared" si="30"/>
        <v>-0.49214659685863876</v>
      </c>
      <c r="MZ24" s="145">
        <f t="shared" si="30"/>
        <v>-0.3546099290780142</v>
      </c>
      <c r="NA24" s="145">
        <f t="shared" si="30"/>
        <v>-0.24778761061946902</v>
      </c>
      <c r="NB24" s="145">
        <f t="shared" si="30"/>
        <v>5.0420168067226892E-2</v>
      </c>
      <c r="NC24" s="145">
        <f t="shared" si="30"/>
        <v>0.32386363636363635</v>
      </c>
      <c r="ND24" s="145">
        <f t="shared" ref="ND24:NM28" si="31">(FJ24-FI24)/FJ24</f>
        <v>-0.19727891156462585</v>
      </c>
      <c r="NE24" s="145">
        <f t="shared" si="31"/>
        <v>0.22631578947368422</v>
      </c>
      <c r="NF24" s="145">
        <f t="shared" si="31"/>
        <v>0.12442396313364056</v>
      </c>
      <c r="NG24" s="145">
        <f t="shared" si="31"/>
        <v>2.2522522522522521E-2</v>
      </c>
      <c r="NH24" s="145">
        <f t="shared" si="31"/>
        <v>0.12941176470588237</v>
      </c>
      <c r="NI24" s="145">
        <f t="shared" si="31"/>
        <v>-0.26237623762376239</v>
      </c>
      <c r="NJ24" s="145">
        <f t="shared" si="31"/>
        <v>-0.18128654970760233</v>
      </c>
      <c r="NK24" s="145">
        <f t="shared" si="31"/>
        <v>-0.37903225806451613</v>
      </c>
      <c r="NL24" s="145">
        <f t="shared" si="31"/>
        <v>-0.39325842696629215</v>
      </c>
      <c r="NM24" s="145">
        <f t="shared" si="31"/>
        <v>1.1111111111111112E-2</v>
      </c>
      <c r="NN24" s="145">
        <f t="shared" ref="NN24:NW28" si="32">(FT24-FS24)/FT24</f>
        <v>-3.4482758620689655E-2</v>
      </c>
      <c r="NO24" s="145">
        <f t="shared" si="32"/>
        <v>0.20909090909090908</v>
      </c>
      <c r="NP24" s="145">
        <f t="shared" si="32"/>
        <v>0.51541850220264318</v>
      </c>
      <c r="NQ24" s="145">
        <f t="shared" si="32"/>
        <v>0.35694050991501414</v>
      </c>
      <c r="NR24" s="145">
        <f t="shared" si="32"/>
        <v>0.21555555555555556</v>
      </c>
      <c r="NS24" s="145">
        <f t="shared" si="32"/>
        <v>-5.6338028169014086E-2</v>
      </c>
      <c r="NT24" s="145">
        <f t="shared" si="32"/>
        <v>4.9107142857142856E-2</v>
      </c>
      <c r="NU24" s="145">
        <f t="shared" si="32"/>
        <v>4.4776119402985072E-2</v>
      </c>
      <c r="NV24" s="145">
        <f t="shared" si="32"/>
        <v>-0.11933174224343675</v>
      </c>
      <c r="NW24" s="145">
        <f t="shared" si="32"/>
        <v>-0.22514619883040934</v>
      </c>
      <c r="NX24" s="145">
        <f t="shared" ref="NX24:OL28" si="33">(GD24-GC24)/GD24</f>
        <v>6.8119891008174394E-2</v>
      </c>
      <c r="NY24" s="145">
        <f t="shared" si="33"/>
        <v>-5.1575931232091692E-2</v>
      </c>
      <c r="NZ24" s="145">
        <f t="shared" si="33"/>
        <v>-2.8735632183908046E-3</v>
      </c>
      <c r="OA24" s="145">
        <f t="shared" si="33"/>
        <v>-0.11897106109324759</v>
      </c>
      <c r="OB24" s="145">
        <f t="shared" si="33"/>
        <v>-8.3623693379790948E-2</v>
      </c>
      <c r="OC24" s="145">
        <f t="shared" si="33"/>
        <v>-3.9855072463768113E-2</v>
      </c>
      <c r="OD24" s="145">
        <f t="shared" si="33"/>
        <v>0.1038961038961039</v>
      </c>
      <c r="OE24" s="145">
        <f t="shared" si="33"/>
        <v>-4.7619047619047616E-2</v>
      </c>
      <c r="OF24" s="145">
        <f t="shared" si="33"/>
        <v>6.070287539936102E-2</v>
      </c>
      <c r="OG24" s="145">
        <f t="shared" si="33"/>
        <v>0.11830985915492957</v>
      </c>
      <c r="OH24" s="145">
        <f t="shared" si="33"/>
        <v>-9.2307692307692313E-2</v>
      </c>
      <c r="OI24" s="145">
        <f t="shared" si="33"/>
        <v>-0.25968992248062017</v>
      </c>
      <c r="OJ24" s="145">
        <f t="shared" si="33"/>
        <v>0.1650485436893204</v>
      </c>
      <c r="OK24" s="145">
        <f t="shared" si="33"/>
        <v>1.5923566878980892E-2</v>
      </c>
      <c r="OL24" s="145">
        <f t="shared" si="33"/>
        <v>-2.2801302931596091E-2</v>
      </c>
    </row>
    <row r="25" spans="1:402" s="145" customFormat="1" ht="19.5" customHeight="1" x14ac:dyDescent="0.35">
      <c r="A25" s="12" t="s">
        <v>31</v>
      </c>
      <c r="B25" s="156"/>
      <c r="C25" s="156"/>
      <c r="D25" s="156"/>
      <c r="E25" s="156"/>
      <c r="F25" s="156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>
        <v>249</v>
      </c>
      <c r="DK25" s="143">
        <v>270</v>
      </c>
      <c r="DL25" s="143">
        <v>300</v>
      </c>
      <c r="DM25" s="143">
        <v>299</v>
      </c>
      <c r="DN25" s="143">
        <v>260</v>
      </c>
      <c r="DO25" s="143">
        <v>235</v>
      </c>
      <c r="DP25" s="143">
        <v>234</v>
      </c>
      <c r="DQ25" s="143">
        <v>206</v>
      </c>
      <c r="DR25" s="143">
        <v>232</v>
      </c>
      <c r="DS25" s="143">
        <v>236</v>
      </c>
      <c r="DT25" s="143">
        <v>225</v>
      </c>
      <c r="DU25" s="143">
        <v>173</v>
      </c>
      <c r="DV25" s="143">
        <v>235</v>
      </c>
      <c r="DW25" s="143">
        <v>272</v>
      </c>
      <c r="DX25" s="143">
        <v>270</v>
      </c>
      <c r="DY25" s="143">
        <v>309</v>
      </c>
      <c r="DZ25" s="143">
        <v>274</v>
      </c>
      <c r="EA25" s="143">
        <v>231</v>
      </c>
      <c r="EB25" s="143">
        <v>193</v>
      </c>
      <c r="EC25" s="143">
        <v>177</v>
      </c>
      <c r="ED25" s="143">
        <v>171</v>
      </c>
      <c r="EE25" s="143">
        <v>192</v>
      </c>
      <c r="EF25" s="143">
        <v>177</v>
      </c>
      <c r="EG25" s="143">
        <v>134</v>
      </c>
      <c r="EH25" s="143">
        <v>219</v>
      </c>
      <c r="EI25" s="143">
        <v>209</v>
      </c>
      <c r="EJ25" s="143">
        <v>256</v>
      </c>
      <c r="EK25" s="143">
        <v>267</v>
      </c>
      <c r="EL25" s="143">
        <v>250</v>
      </c>
      <c r="EM25" s="143">
        <v>221</v>
      </c>
      <c r="EN25" s="143">
        <v>216</v>
      </c>
      <c r="EO25" s="143">
        <v>199</v>
      </c>
      <c r="EP25" s="143">
        <v>172</v>
      </c>
      <c r="EQ25" s="143">
        <v>173</v>
      </c>
      <c r="ER25" s="143">
        <v>181</v>
      </c>
      <c r="ES25" s="143">
        <v>134</v>
      </c>
      <c r="ET25" s="143">
        <v>208</v>
      </c>
      <c r="EU25" s="143">
        <v>248</v>
      </c>
      <c r="EV25" s="143">
        <v>151</v>
      </c>
      <c r="EW25" s="143">
        <v>151</v>
      </c>
      <c r="EX25" s="143">
        <v>234</v>
      </c>
      <c r="EY25" s="143">
        <v>230</v>
      </c>
      <c r="EZ25" s="143">
        <v>224</v>
      </c>
      <c r="FA25" s="143">
        <v>226</v>
      </c>
      <c r="FB25" s="143">
        <v>266</v>
      </c>
      <c r="FC25" s="143">
        <v>240</v>
      </c>
      <c r="FD25" s="143">
        <v>226</v>
      </c>
      <c r="FE25" s="143">
        <v>194</v>
      </c>
      <c r="FF25" s="143">
        <v>218</v>
      </c>
      <c r="FG25" s="143">
        <v>183</v>
      </c>
      <c r="FH25" s="143">
        <v>180</v>
      </c>
      <c r="FI25" s="143">
        <v>176</v>
      </c>
      <c r="FJ25" s="143">
        <v>153</v>
      </c>
      <c r="FK25" s="143">
        <v>158</v>
      </c>
      <c r="FL25" s="143">
        <v>159</v>
      </c>
      <c r="FM25" s="143">
        <v>154</v>
      </c>
      <c r="FN25" s="143">
        <v>137</v>
      </c>
      <c r="FO25" s="143">
        <v>158</v>
      </c>
      <c r="FP25" s="143">
        <v>121</v>
      </c>
      <c r="FQ25" s="143">
        <v>89</v>
      </c>
      <c r="FR25" s="143">
        <v>116</v>
      </c>
      <c r="FS25" s="143">
        <v>99</v>
      </c>
      <c r="FT25" s="143">
        <v>108</v>
      </c>
      <c r="FU25" s="143">
        <v>96</v>
      </c>
      <c r="FV25" s="143">
        <v>100</v>
      </c>
      <c r="FW25" s="143">
        <v>62</v>
      </c>
      <c r="FX25" s="143">
        <v>67</v>
      </c>
      <c r="FY25" s="143">
        <v>69</v>
      </c>
      <c r="FZ25" s="143">
        <v>68</v>
      </c>
      <c r="GA25" s="143">
        <v>57</v>
      </c>
      <c r="GB25" s="143">
        <v>52</v>
      </c>
      <c r="GC25" s="143">
        <v>52</v>
      </c>
      <c r="GD25" s="143">
        <v>68</v>
      </c>
      <c r="GE25" s="143">
        <v>92</v>
      </c>
      <c r="GF25" s="143">
        <v>73</v>
      </c>
      <c r="GG25" s="143">
        <v>80</v>
      </c>
      <c r="GH25" s="143">
        <v>92</v>
      </c>
      <c r="GI25" s="143">
        <v>78</v>
      </c>
      <c r="GJ25" s="143">
        <v>69</v>
      </c>
      <c r="GK25" s="143">
        <v>59</v>
      </c>
      <c r="GL25" s="143">
        <v>43</v>
      </c>
      <c r="GM25" s="143">
        <v>53</v>
      </c>
      <c r="GN25" s="143">
        <v>56</v>
      </c>
      <c r="GO25" s="143">
        <v>44</v>
      </c>
      <c r="GP25" s="143">
        <v>66</v>
      </c>
      <c r="GQ25" s="143">
        <v>75</v>
      </c>
      <c r="GR25" s="143">
        <v>81</v>
      </c>
      <c r="GS25" s="143">
        <f>SUM(B25:GR25)/86</f>
        <v>168.72093023255815</v>
      </c>
      <c r="GT25" s="152"/>
      <c r="GU25" s="12" t="s">
        <v>31</v>
      </c>
      <c r="LE25" s="145">
        <f t="shared" ref="LE25:LN28" si="34">(DK25-DJ25)/DJ25</f>
        <v>8.4337349397590355E-2</v>
      </c>
      <c r="LF25" s="145">
        <f t="shared" si="34"/>
        <v>0.1111111111111111</v>
      </c>
      <c r="LG25" s="145">
        <f t="shared" si="34"/>
        <v>-3.3333333333333335E-3</v>
      </c>
      <c r="LH25" s="145">
        <f t="shared" si="34"/>
        <v>-0.13043478260869565</v>
      </c>
      <c r="LI25" s="145">
        <f t="shared" si="34"/>
        <v>-9.6153846153846159E-2</v>
      </c>
      <c r="LJ25" s="145">
        <f t="shared" si="34"/>
        <v>-4.2553191489361703E-3</v>
      </c>
      <c r="LK25" s="145">
        <f t="shared" si="34"/>
        <v>-0.11965811965811966</v>
      </c>
      <c r="LL25" s="145">
        <f t="shared" si="34"/>
        <v>0.12621359223300971</v>
      </c>
      <c r="LM25" s="145">
        <f t="shared" si="34"/>
        <v>1.7241379310344827E-2</v>
      </c>
      <c r="LN25" s="145">
        <f t="shared" si="34"/>
        <v>-4.6610169491525424E-2</v>
      </c>
      <c r="LO25" s="145">
        <f t="shared" ref="LO25:LX28" si="35">(DU25-DT25)/DT25</f>
        <v>-0.2311111111111111</v>
      </c>
      <c r="LP25" s="145">
        <f t="shared" si="35"/>
        <v>0.3583815028901734</v>
      </c>
      <c r="LQ25" s="145">
        <f t="shared" si="35"/>
        <v>0.1574468085106383</v>
      </c>
      <c r="LR25" s="145">
        <f t="shared" si="35"/>
        <v>-7.3529411764705881E-3</v>
      </c>
      <c r="LS25" s="145">
        <f t="shared" si="35"/>
        <v>0.14444444444444443</v>
      </c>
      <c r="LT25" s="145">
        <f t="shared" si="35"/>
        <v>-0.11326860841423948</v>
      </c>
      <c r="LU25" s="145">
        <f t="shared" si="35"/>
        <v>-0.15693430656934307</v>
      </c>
      <c r="LV25" s="145">
        <f t="shared" si="35"/>
        <v>-0.16450216450216451</v>
      </c>
      <c r="LW25" s="145">
        <f t="shared" si="35"/>
        <v>-8.2901554404145081E-2</v>
      </c>
      <c r="LX25" s="145">
        <f t="shared" si="35"/>
        <v>-3.3898305084745763E-2</v>
      </c>
      <c r="LY25" s="145">
        <f t="shared" ref="LY25:MH28" si="36">(EE25-ED25)/ED25</f>
        <v>0.12280701754385964</v>
      </c>
      <c r="LZ25" s="145">
        <f t="shared" si="36"/>
        <v>-7.8125E-2</v>
      </c>
      <c r="MA25" s="145">
        <f t="shared" si="36"/>
        <v>-0.24293785310734464</v>
      </c>
      <c r="MB25" s="145">
        <f t="shared" si="36"/>
        <v>0.63432835820895528</v>
      </c>
      <c r="MC25" s="145">
        <f t="shared" si="36"/>
        <v>-4.5662100456621002E-2</v>
      </c>
      <c r="MD25" s="145">
        <f t="shared" si="36"/>
        <v>0.22488038277511962</v>
      </c>
      <c r="ME25" s="145">
        <f t="shared" si="36"/>
        <v>4.296875E-2</v>
      </c>
      <c r="MF25" s="145">
        <f t="shared" si="36"/>
        <v>-6.3670411985018729E-2</v>
      </c>
      <c r="MG25" s="145">
        <f t="shared" si="36"/>
        <v>-0.11600000000000001</v>
      </c>
      <c r="MH25" s="145">
        <f t="shared" si="36"/>
        <v>-2.2624434389140271E-2</v>
      </c>
      <c r="MI25" s="145">
        <f t="shared" ref="MI25:MR28" si="37">(EO25-EN25)/EN25</f>
        <v>-7.8703703703703706E-2</v>
      </c>
      <c r="MJ25" s="145">
        <f t="shared" si="37"/>
        <v>-0.135678391959799</v>
      </c>
      <c r="MK25" s="145">
        <f t="shared" si="37"/>
        <v>5.8139534883720929E-3</v>
      </c>
      <c r="ML25" s="145">
        <f t="shared" si="37"/>
        <v>4.6242774566473986E-2</v>
      </c>
      <c r="MM25" s="145">
        <f t="shared" si="37"/>
        <v>-0.25966850828729282</v>
      </c>
      <c r="MN25" s="145">
        <f t="shared" si="37"/>
        <v>0.55223880597014929</v>
      </c>
      <c r="MO25" s="145">
        <f t="shared" si="37"/>
        <v>0.19230769230769232</v>
      </c>
      <c r="MP25" s="145">
        <f t="shared" si="37"/>
        <v>-0.3911290322580645</v>
      </c>
      <c r="MQ25" s="145">
        <f t="shared" si="37"/>
        <v>0</v>
      </c>
      <c r="MR25" s="145">
        <f t="shared" si="37"/>
        <v>0.54966887417218546</v>
      </c>
      <c r="MS25" s="145">
        <f>(EZ25-EY25)/EY25</f>
        <v>-2.6086956521739129E-2</v>
      </c>
      <c r="MT25" s="145">
        <f t="shared" si="30"/>
        <v>-2.6785714285714284E-2</v>
      </c>
      <c r="MU25" s="145">
        <f t="shared" si="30"/>
        <v>8.8495575221238937E-3</v>
      </c>
      <c r="MV25" s="145">
        <f t="shared" si="30"/>
        <v>0.15037593984962405</v>
      </c>
      <c r="MW25" s="145">
        <f t="shared" si="30"/>
        <v>-0.10833333333333334</v>
      </c>
      <c r="MX25" s="145">
        <f t="shared" si="30"/>
        <v>-6.1946902654867256E-2</v>
      </c>
      <c r="MY25" s="145">
        <f t="shared" si="30"/>
        <v>-0.16494845360824742</v>
      </c>
      <c r="MZ25" s="145">
        <f t="shared" si="30"/>
        <v>0.11009174311926606</v>
      </c>
      <c r="NA25" s="145">
        <f t="shared" si="30"/>
        <v>-0.19125683060109289</v>
      </c>
      <c r="NB25" s="145">
        <f t="shared" si="30"/>
        <v>-1.6666666666666666E-2</v>
      </c>
      <c r="NC25" s="145">
        <f t="shared" si="30"/>
        <v>-2.2727272727272728E-2</v>
      </c>
      <c r="ND25" s="145">
        <f t="shared" si="31"/>
        <v>-0.15032679738562091</v>
      </c>
      <c r="NE25" s="145">
        <f t="shared" si="31"/>
        <v>3.1645569620253167E-2</v>
      </c>
      <c r="NF25" s="145">
        <f t="shared" si="31"/>
        <v>6.2893081761006293E-3</v>
      </c>
      <c r="NG25" s="145">
        <f t="shared" si="31"/>
        <v>-3.2467532467532464E-2</v>
      </c>
      <c r="NH25" s="145">
        <f t="shared" si="31"/>
        <v>-0.12408759124087591</v>
      </c>
      <c r="NI25" s="145">
        <f t="shared" si="31"/>
        <v>0.13291139240506328</v>
      </c>
      <c r="NJ25" s="145">
        <f t="shared" si="31"/>
        <v>-0.30578512396694213</v>
      </c>
      <c r="NK25" s="145">
        <f t="shared" si="31"/>
        <v>-0.3595505617977528</v>
      </c>
      <c r="NL25" s="145">
        <f t="shared" si="31"/>
        <v>0.23275862068965517</v>
      </c>
      <c r="NM25" s="145">
        <f t="shared" si="31"/>
        <v>-0.17171717171717171</v>
      </c>
      <c r="NN25" s="145">
        <f t="shared" si="32"/>
        <v>8.3333333333333329E-2</v>
      </c>
      <c r="NO25" s="145">
        <f t="shared" si="32"/>
        <v>-0.125</v>
      </c>
      <c r="NP25" s="145">
        <f t="shared" si="32"/>
        <v>0.04</v>
      </c>
      <c r="NQ25" s="145">
        <f t="shared" si="32"/>
        <v>-0.61290322580645162</v>
      </c>
      <c r="NR25" s="145">
        <f t="shared" si="32"/>
        <v>7.4626865671641784E-2</v>
      </c>
      <c r="NS25" s="145">
        <f t="shared" si="32"/>
        <v>2.8985507246376812E-2</v>
      </c>
      <c r="NT25" s="145">
        <f t="shared" si="32"/>
        <v>-1.4705882352941176E-2</v>
      </c>
      <c r="NU25" s="145">
        <f t="shared" si="32"/>
        <v>-0.19298245614035087</v>
      </c>
      <c r="NV25" s="145">
        <f t="shared" si="32"/>
        <v>-9.6153846153846159E-2</v>
      </c>
      <c r="NW25" s="145">
        <f t="shared" si="32"/>
        <v>0</v>
      </c>
      <c r="NX25" s="145">
        <f t="shared" si="33"/>
        <v>0.23529411764705882</v>
      </c>
      <c r="NY25" s="145">
        <f t="shared" si="33"/>
        <v>0.2608695652173913</v>
      </c>
      <c r="NZ25" s="145">
        <f t="shared" si="33"/>
        <v>-0.26027397260273971</v>
      </c>
      <c r="OA25" s="145">
        <f t="shared" si="33"/>
        <v>8.7499999999999994E-2</v>
      </c>
      <c r="OB25" s="145">
        <f t="shared" si="33"/>
        <v>0.13043478260869565</v>
      </c>
      <c r="OC25" s="145">
        <f t="shared" si="33"/>
        <v>-0.17948717948717949</v>
      </c>
      <c r="OD25" s="145">
        <f t="shared" si="33"/>
        <v>-0.13043478260869565</v>
      </c>
      <c r="OE25" s="145">
        <f t="shared" si="33"/>
        <v>-0.16949152542372881</v>
      </c>
      <c r="OF25" s="145">
        <f t="shared" si="33"/>
        <v>-0.37209302325581395</v>
      </c>
      <c r="OG25" s="145">
        <f t="shared" si="33"/>
        <v>0.18867924528301888</v>
      </c>
      <c r="OH25" s="145">
        <f t="shared" si="33"/>
        <v>5.3571428571428568E-2</v>
      </c>
      <c r="OI25" s="145">
        <f t="shared" si="33"/>
        <v>-0.27272727272727271</v>
      </c>
      <c r="OJ25" s="145">
        <f t="shared" si="33"/>
        <v>0.33333333333333331</v>
      </c>
      <c r="OK25" s="145">
        <f t="shared" si="33"/>
        <v>0.12</v>
      </c>
      <c r="OL25" s="145">
        <f t="shared" si="33"/>
        <v>7.407407407407407E-2</v>
      </c>
    </row>
    <row r="26" spans="1:402" s="145" customFormat="1" ht="19.5" customHeight="1" x14ac:dyDescent="0.35">
      <c r="A26" s="12" t="s">
        <v>32</v>
      </c>
      <c r="B26" s="156">
        <f>'[1]Sept 07'!C7</f>
        <v>166</v>
      </c>
      <c r="C26" s="156">
        <f>'[1]Oct 07'!C7</f>
        <v>114</v>
      </c>
      <c r="D26" s="156">
        <f>'[1]Nov 07'!C7</f>
        <v>173</v>
      </c>
      <c r="E26" s="156">
        <f>'[1]Dec 07'!C7</f>
        <v>136</v>
      </c>
      <c r="F26" s="156">
        <f>'[1]Jan 08'!C7</f>
        <v>195</v>
      </c>
      <c r="G26" s="143">
        <f>'[1]Feb 08'!C7</f>
        <v>207</v>
      </c>
      <c r="H26" s="143">
        <f>'[1]Mar 08'!C7</f>
        <v>247</v>
      </c>
      <c r="I26" s="143">
        <v>276</v>
      </c>
      <c r="J26" s="143">
        <f>'[1]May 08'!C7</f>
        <v>280</v>
      </c>
      <c r="K26" s="143">
        <f>'[1]Jun 08'!C7</f>
        <v>269</v>
      </c>
      <c r="L26" s="143">
        <f>'[1]Jul 08'!C7</f>
        <v>264</v>
      </c>
      <c r="M26" s="143">
        <f>'[1]Aug 08'!C7</f>
        <v>247</v>
      </c>
      <c r="N26" s="143">
        <v>253</v>
      </c>
      <c r="O26" s="143">
        <v>213</v>
      </c>
      <c r="P26" s="143">
        <v>218</v>
      </c>
      <c r="Q26" s="143">
        <v>186</v>
      </c>
      <c r="R26" s="143">
        <v>223</v>
      </c>
      <c r="S26" s="143">
        <v>246</v>
      </c>
      <c r="T26" s="143">
        <v>342</v>
      </c>
      <c r="U26" s="143">
        <v>428</v>
      </c>
      <c r="V26" s="143">
        <v>489</v>
      </c>
      <c r="W26" s="143">
        <v>508</v>
      </c>
      <c r="X26" s="143">
        <v>446</v>
      </c>
      <c r="Y26" s="143">
        <v>456</v>
      </c>
      <c r="Z26" s="143">
        <v>467</v>
      </c>
      <c r="AA26" s="143">
        <v>464</v>
      </c>
      <c r="AB26" s="143">
        <v>432</v>
      </c>
      <c r="AC26" s="143">
        <v>387</v>
      </c>
      <c r="AD26" s="143">
        <v>412</v>
      </c>
      <c r="AE26" s="143">
        <v>499</v>
      </c>
      <c r="AF26" s="143">
        <v>549</v>
      </c>
      <c r="AG26" s="143">
        <v>597</v>
      </c>
      <c r="AH26" s="143">
        <v>548</v>
      </c>
      <c r="AI26" s="143">
        <v>488</v>
      </c>
      <c r="AJ26" s="143">
        <v>425</v>
      </c>
      <c r="AK26" s="143">
        <v>402</v>
      </c>
      <c r="AL26" s="143">
        <v>409</v>
      </c>
      <c r="AM26" s="143">
        <v>438</v>
      </c>
      <c r="AN26" s="143">
        <v>437</v>
      </c>
      <c r="AO26" s="143">
        <v>394</v>
      </c>
      <c r="AP26" s="143">
        <v>447</v>
      </c>
      <c r="AQ26" s="143">
        <v>474</v>
      </c>
      <c r="AR26" s="143">
        <v>549</v>
      </c>
      <c r="AS26" s="143">
        <v>551</v>
      </c>
      <c r="AT26" s="143">
        <v>601</v>
      </c>
      <c r="AU26" s="143">
        <v>507</v>
      </c>
      <c r="AV26" s="143">
        <v>494</v>
      </c>
      <c r="AW26" s="143">
        <v>471</v>
      </c>
      <c r="AX26" s="143">
        <v>436</v>
      </c>
      <c r="AY26" s="143">
        <v>384</v>
      </c>
      <c r="AZ26" s="143">
        <v>425</v>
      </c>
      <c r="BA26" s="143">
        <v>363</v>
      </c>
      <c r="BB26" s="143">
        <v>429</v>
      </c>
      <c r="BC26" s="143">
        <v>500</v>
      </c>
      <c r="BD26" s="143">
        <v>501</v>
      </c>
      <c r="BE26" s="143">
        <v>555</v>
      </c>
      <c r="BF26" s="143">
        <v>474</v>
      </c>
      <c r="BG26" s="143">
        <v>467</v>
      </c>
      <c r="BH26" s="143">
        <v>442</v>
      </c>
      <c r="BI26" s="143">
        <v>399</v>
      </c>
      <c r="BJ26" s="143">
        <v>382</v>
      </c>
      <c r="BK26" s="143">
        <v>397</v>
      </c>
      <c r="BL26" s="143">
        <v>394</v>
      </c>
      <c r="BM26" s="143">
        <v>314</v>
      </c>
      <c r="BN26" s="143">
        <v>377</v>
      </c>
      <c r="BO26" s="143">
        <v>437</v>
      </c>
      <c r="BP26" s="143">
        <v>423</v>
      </c>
      <c r="BQ26" s="143">
        <v>456</v>
      </c>
      <c r="BR26" s="143">
        <v>411</v>
      </c>
      <c r="BS26" s="143">
        <v>387</v>
      </c>
      <c r="BT26" s="143">
        <v>303</v>
      </c>
      <c r="BU26" s="143">
        <v>283</v>
      </c>
      <c r="BV26" s="143">
        <v>250</v>
      </c>
      <c r="BW26" s="143">
        <v>247</v>
      </c>
      <c r="BX26" s="143">
        <v>235</v>
      </c>
      <c r="BY26" s="143">
        <v>184</v>
      </c>
      <c r="BZ26" s="143">
        <v>242</v>
      </c>
      <c r="CA26" s="143">
        <v>264</v>
      </c>
      <c r="CB26" s="143">
        <v>285</v>
      </c>
      <c r="CC26" s="143">
        <v>295</v>
      </c>
      <c r="CD26" s="143">
        <v>298</v>
      </c>
      <c r="CE26" s="143">
        <v>293</v>
      </c>
      <c r="CF26" s="143">
        <v>254</v>
      </c>
      <c r="CG26" s="143">
        <v>225</v>
      </c>
      <c r="CH26" s="143">
        <v>213</v>
      </c>
      <c r="CI26" s="143">
        <v>192</v>
      </c>
      <c r="CJ26" s="143">
        <v>229</v>
      </c>
      <c r="CK26" s="143">
        <v>177</v>
      </c>
      <c r="CL26" s="143">
        <v>199</v>
      </c>
      <c r="CM26" s="143">
        <v>268</v>
      </c>
      <c r="CN26" s="143">
        <v>322</v>
      </c>
      <c r="CO26" s="143">
        <v>297</v>
      </c>
      <c r="CP26" s="143">
        <v>294</v>
      </c>
      <c r="CQ26" s="143">
        <v>308</v>
      </c>
      <c r="CR26" s="143">
        <v>251</v>
      </c>
      <c r="CS26" s="143">
        <v>255</v>
      </c>
      <c r="CT26" s="143">
        <v>234</v>
      </c>
      <c r="CU26" s="143">
        <v>215</v>
      </c>
      <c r="CV26" s="143">
        <v>229</v>
      </c>
      <c r="CW26" s="143">
        <v>176</v>
      </c>
      <c r="CX26" s="143">
        <v>231</v>
      </c>
      <c r="CY26" s="143">
        <v>283</v>
      </c>
      <c r="CZ26" s="143">
        <v>315</v>
      </c>
      <c r="DA26" s="143">
        <v>302</v>
      </c>
      <c r="DB26" s="143">
        <v>297</v>
      </c>
      <c r="DC26" s="143">
        <v>252</v>
      </c>
      <c r="DD26" s="143">
        <v>269</v>
      </c>
      <c r="DE26" s="143">
        <v>243</v>
      </c>
      <c r="DF26" s="143">
        <v>234</v>
      </c>
      <c r="DG26" s="143">
        <v>227</v>
      </c>
      <c r="DH26" s="143">
        <v>207</v>
      </c>
      <c r="DI26" s="143">
        <v>184</v>
      </c>
      <c r="DJ26" s="143">
        <v>226</v>
      </c>
      <c r="DK26" s="143">
        <v>306</v>
      </c>
      <c r="DL26" s="143">
        <v>301</v>
      </c>
      <c r="DM26" s="143">
        <v>304</v>
      </c>
      <c r="DN26" s="143">
        <v>293</v>
      </c>
      <c r="DO26" s="143">
        <v>245</v>
      </c>
      <c r="DP26" s="143">
        <v>224</v>
      </c>
      <c r="DQ26" s="143">
        <v>212</v>
      </c>
      <c r="DR26" s="143">
        <v>213</v>
      </c>
      <c r="DS26" s="143">
        <v>215</v>
      </c>
      <c r="DT26" s="143">
        <v>221</v>
      </c>
      <c r="DU26" s="143">
        <v>194</v>
      </c>
      <c r="DV26" s="143">
        <v>245</v>
      </c>
      <c r="DW26" s="143">
        <v>281</v>
      </c>
      <c r="DX26" s="143">
        <v>274</v>
      </c>
      <c r="DY26" s="143">
        <v>262</v>
      </c>
      <c r="DZ26" s="143">
        <v>254</v>
      </c>
      <c r="EA26" s="143">
        <v>221</v>
      </c>
      <c r="EB26" s="143">
        <v>221</v>
      </c>
      <c r="EC26" s="143">
        <v>189</v>
      </c>
      <c r="ED26" s="143">
        <v>198</v>
      </c>
      <c r="EE26" s="143">
        <v>161</v>
      </c>
      <c r="EF26" s="143">
        <v>177</v>
      </c>
      <c r="EG26" s="143">
        <v>150</v>
      </c>
      <c r="EH26" s="143">
        <v>187</v>
      </c>
      <c r="EI26" s="143">
        <v>223</v>
      </c>
      <c r="EJ26" s="143">
        <v>245</v>
      </c>
      <c r="EK26" s="143">
        <v>281</v>
      </c>
      <c r="EL26" s="143">
        <v>259</v>
      </c>
      <c r="EM26" s="143">
        <v>239</v>
      </c>
      <c r="EN26" s="143">
        <v>229</v>
      </c>
      <c r="EO26" s="143">
        <v>220</v>
      </c>
      <c r="EP26" s="143">
        <v>206</v>
      </c>
      <c r="EQ26" s="143">
        <v>213</v>
      </c>
      <c r="ER26" s="143">
        <v>235</v>
      </c>
      <c r="ES26" s="143">
        <v>153</v>
      </c>
      <c r="ET26" s="143">
        <v>198</v>
      </c>
      <c r="EU26" s="143">
        <v>238</v>
      </c>
      <c r="EV26" s="143">
        <v>183</v>
      </c>
      <c r="EW26" s="143">
        <v>167</v>
      </c>
      <c r="EX26" s="143">
        <v>203</v>
      </c>
      <c r="EY26" s="143">
        <v>251</v>
      </c>
      <c r="EZ26" s="143">
        <v>226</v>
      </c>
      <c r="FA26" s="143">
        <v>241</v>
      </c>
      <c r="FB26" s="143">
        <v>228</v>
      </c>
      <c r="FC26" s="143">
        <v>255</v>
      </c>
      <c r="FD26" s="143">
        <v>249</v>
      </c>
      <c r="FE26" s="143">
        <v>188</v>
      </c>
      <c r="FF26" s="143">
        <v>234</v>
      </c>
      <c r="FG26" s="143">
        <v>239</v>
      </c>
      <c r="FH26" s="143">
        <v>232</v>
      </c>
      <c r="FI26" s="143">
        <v>220</v>
      </c>
      <c r="FJ26" s="143">
        <v>233</v>
      </c>
      <c r="FK26" s="143">
        <v>202</v>
      </c>
      <c r="FL26" s="143">
        <v>164</v>
      </c>
      <c r="FM26" s="143">
        <v>199</v>
      </c>
      <c r="FN26" s="143">
        <v>176</v>
      </c>
      <c r="FO26" s="143">
        <v>187</v>
      </c>
      <c r="FP26" s="143">
        <v>172</v>
      </c>
      <c r="FQ26" s="143">
        <v>137</v>
      </c>
      <c r="FR26" s="143">
        <v>157</v>
      </c>
      <c r="FS26" s="143">
        <v>166</v>
      </c>
      <c r="FT26" s="143">
        <v>147</v>
      </c>
      <c r="FU26" s="143">
        <v>162</v>
      </c>
      <c r="FV26" s="143">
        <v>111</v>
      </c>
      <c r="FW26" s="143">
        <v>110</v>
      </c>
      <c r="FX26" s="143">
        <v>122</v>
      </c>
      <c r="FY26" s="143">
        <v>12</v>
      </c>
      <c r="FZ26" s="143">
        <v>114</v>
      </c>
      <c r="GA26" s="143">
        <v>115</v>
      </c>
      <c r="GB26" s="143">
        <v>107</v>
      </c>
      <c r="GC26" s="143">
        <v>81</v>
      </c>
      <c r="GD26" s="143">
        <v>86</v>
      </c>
      <c r="GE26" s="143">
        <v>106</v>
      </c>
      <c r="GF26" s="143">
        <v>108</v>
      </c>
      <c r="GG26" s="143">
        <v>126</v>
      </c>
      <c r="GH26" s="143">
        <v>116</v>
      </c>
      <c r="GI26" s="143">
        <v>95</v>
      </c>
      <c r="GJ26" s="143">
        <v>79</v>
      </c>
      <c r="GK26" s="143">
        <v>73</v>
      </c>
      <c r="GL26" s="143">
        <v>65</v>
      </c>
      <c r="GM26" s="143">
        <v>72</v>
      </c>
      <c r="GN26" s="143">
        <v>80</v>
      </c>
      <c r="GO26" s="143">
        <v>58</v>
      </c>
      <c r="GP26" s="143">
        <v>93</v>
      </c>
      <c r="GQ26" s="143">
        <v>96</v>
      </c>
      <c r="GR26" s="143">
        <v>87</v>
      </c>
      <c r="GS26" s="143">
        <f>SUM(B26:GR26)/198</f>
        <v>272.63131313131311</v>
      </c>
      <c r="GT26" s="152"/>
      <c r="GU26" s="12" t="s">
        <v>32</v>
      </c>
      <c r="GV26" s="145" t="s">
        <v>30</v>
      </c>
      <c r="GW26" s="145">
        <f t="shared" ref="GW26:HF28" si="38">(C26-B26)/B26</f>
        <v>-0.31325301204819278</v>
      </c>
      <c r="GX26" s="145">
        <f t="shared" si="38"/>
        <v>0.51754385964912286</v>
      </c>
      <c r="GY26" s="145">
        <f t="shared" si="38"/>
        <v>-0.2138728323699422</v>
      </c>
      <c r="GZ26" s="145">
        <f t="shared" si="38"/>
        <v>0.43382352941176472</v>
      </c>
      <c r="HA26" s="145">
        <f t="shared" si="38"/>
        <v>6.1538461538461542E-2</v>
      </c>
      <c r="HB26" s="145">
        <f t="shared" si="38"/>
        <v>0.19323671497584541</v>
      </c>
      <c r="HC26" s="145">
        <f t="shared" si="38"/>
        <v>0.11740890688259109</v>
      </c>
      <c r="HD26" s="145">
        <f t="shared" si="38"/>
        <v>1.4492753623188406E-2</v>
      </c>
      <c r="HE26" s="145">
        <f t="shared" si="38"/>
        <v>-3.9285714285714285E-2</v>
      </c>
      <c r="HF26" s="145">
        <f t="shared" si="38"/>
        <v>-1.858736059479554E-2</v>
      </c>
      <c r="HG26" s="145">
        <f t="shared" ref="HG26:HP28" si="39">(M26-L26)/L26</f>
        <v>-6.4393939393939392E-2</v>
      </c>
      <c r="HH26" s="145">
        <f t="shared" si="39"/>
        <v>2.4291497975708502E-2</v>
      </c>
      <c r="HI26" s="145">
        <f t="shared" si="39"/>
        <v>-0.15810276679841898</v>
      </c>
      <c r="HJ26" s="145">
        <f t="shared" si="39"/>
        <v>2.3474178403755867E-2</v>
      </c>
      <c r="HK26" s="145">
        <f t="shared" si="39"/>
        <v>-0.14678899082568808</v>
      </c>
      <c r="HL26" s="145">
        <f t="shared" si="39"/>
        <v>0.19892473118279569</v>
      </c>
      <c r="HM26" s="145">
        <f t="shared" si="39"/>
        <v>0.1031390134529148</v>
      </c>
      <c r="HN26" s="145">
        <f t="shared" si="39"/>
        <v>0.3902439024390244</v>
      </c>
      <c r="HO26" s="145">
        <f t="shared" si="39"/>
        <v>0.25146198830409355</v>
      </c>
      <c r="HP26" s="145">
        <f t="shared" si="39"/>
        <v>0.1425233644859813</v>
      </c>
      <c r="HQ26" s="145">
        <f t="shared" ref="HQ26:HZ28" si="40">(W26-V26)/V26</f>
        <v>3.8854805725971372E-2</v>
      </c>
      <c r="HR26" s="145">
        <f t="shared" si="40"/>
        <v>-0.12204724409448819</v>
      </c>
      <c r="HS26" s="145">
        <f t="shared" si="40"/>
        <v>2.2421524663677129E-2</v>
      </c>
      <c r="HT26" s="145">
        <f t="shared" si="40"/>
        <v>2.4122807017543858E-2</v>
      </c>
      <c r="HU26" s="145">
        <f t="shared" si="40"/>
        <v>-6.4239828693790149E-3</v>
      </c>
      <c r="HV26" s="145">
        <f t="shared" si="40"/>
        <v>-6.8965517241379309E-2</v>
      </c>
      <c r="HW26" s="145">
        <f t="shared" si="40"/>
        <v>-0.10416666666666667</v>
      </c>
      <c r="HX26" s="145">
        <f t="shared" si="40"/>
        <v>6.4599483204134361E-2</v>
      </c>
      <c r="HY26" s="145">
        <f t="shared" si="40"/>
        <v>0.21116504854368931</v>
      </c>
      <c r="HZ26" s="145">
        <f t="shared" si="40"/>
        <v>0.10020040080160321</v>
      </c>
      <c r="IA26" s="145">
        <f t="shared" ref="IA26:IJ28" si="41">(AG26-AF26)/AF26</f>
        <v>8.7431693989071038E-2</v>
      </c>
      <c r="IB26" s="145">
        <f t="shared" si="41"/>
        <v>-8.2077051926298161E-2</v>
      </c>
      <c r="IC26" s="145">
        <f t="shared" si="41"/>
        <v>-0.10948905109489052</v>
      </c>
      <c r="ID26" s="145">
        <f t="shared" si="41"/>
        <v>-0.12909836065573771</v>
      </c>
      <c r="IE26" s="145">
        <f t="shared" si="41"/>
        <v>-5.4117647058823527E-2</v>
      </c>
      <c r="IF26" s="145">
        <f t="shared" si="41"/>
        <v>1.7412935323383085E-2</v>
      </c>
      <c r="IG26" s="145">
        <f t="shared" si="41"/>
        <v>7.090464547677261E-2</v>
      </c>
      <c r="IH26" s="145">
        <f t="shared" si="41"/>
        <v>-2.2831050228310501E-3</v>
      </c>
      <c r="II26" s="145">
        <f t="shared" si="41"/>
        <v>-9.8398169336384442E-2</v>
      </c>
      <c r="IJ26" s="145">
        <f t="shared" si="41"/>
        <v>0.13451776649746192</v>
      </c>
      <c r="IK26" s="145">
        <f t="shared" ref="IK26:IT28" si="42">(AQ26-AP26)/AP26</f>
        <v>6.0402684563758392E-2</v>
      </c>
      <c r="IL26" s="145">
        <f t="shared" si="42"/>
        <v>0.15822784810126583</v>
      </c>
      <c r="IM26" s="145">
        <f t="shared" si="42"/>
        <v>3.6429872495446266E-3</v>
      </c>
      <c r="IN26" s="145">
        <f t="shared" si="42"/>
        <v>9.0744101633393831E-2</v>
      </c>
      <c r="IO26" s="145">
        <f t="shared" si="42"/>
        <v>-0.15640599001663893</v>
      </c>
      <c r="IP26" s="145">
        <f t="shared" si="42"/>
        <v>-2.564102564102564E-2</v>
      </c>
      <c r="IQ26" s="145">
        <f t="shared" si="42"/>
        <v>-4.6558704453441298E-2</v>
      </c>
      <c r="IR26" s="145">
        <f t="shared" si="42"/>
        <v>-7.4309978768577492E-2</v>
      </c>
      <c r="IS26" s="145">
        <f t="shared" si="42"/>
        <v>-0.11926605504587157</v>
      </c>
      <c r="IT26" s="145">
        <f t="shared" si="42"/>
        <v>0.10677083333333333</v>
      </c>
      <c r="IU26" s="145">
        <f t="shared" ref="IU26:JD28" si="43">(BA26-AZ26)/AZ26</f>
        <v>-0.14588235294117646</v>
      </c>
      <c r="IV26" s="145">
        <f t="shared" si="43"/>
        <v>0.18181818181818182</v>
      </c>
      <c r="IW26" s="145">
        <f t="shared" si="43"/>
        <v>0.1655011655011655</v>
      </c>
      <c r="IX26" s="145">
        <f t="shared" si="43"/>
        <v>2E-3</v>
      </c>
      <c r="IY26" s="145">
        <f t="shared" si="43"/>
        <v>0.10778443113772455</v>
      </c>
      <c r="IZ26" s="145">
        <f t="shared" si="43"/>
        <v>-0.14594594594594595</v>
      </c>
      <c r="JA26" s="145">
        <f t="shared" si="43"/>
        <v>-1.4767932489451477E-2</v>
      </c>
      <c r="JB26" s="145">
        <f t="shared" si="43"/>
        <v>-5.353319057815846E-2</v>
      </c>
      <c r="JC26" s="145">
        <f t="shared" si="43"/>
        <v>-9.7285067873303169E-2</v>
      </c>
      <c r="JD26" s="145">
        <f t="shared" si="43"/>
        <v>-4.2606516290726815E-2</v>
      </c>
      <c r="JE26" s="145">
        <f t="shared" ref="JE26:JN28" si="44">(BK26-BJ26)/BJ26</f>
        <v>3.9267015706806283E-2</v>
      </c>
      <c r="JF26" s="145">
        <f t="shared" si="44"/>
        <v>-7.556675062972292E-3</v>
      </c>
      <c r="JG26" s="145">
        <f t="shared" si="44"/>
        <v>-0.20304568527918782</v>
      </c>
      <c r="JH26" s="145">
        <f t="shared" si="44"/>
        <v>0.20063694267515925</v>
      </c>
      <c r="JI26" s="145">
        <f t="shared" si="44"/>
        <v>0.15915119363395225</v>
      </c>
      <c r="JJ26" s="145">
        <f t="shared" si="44"/>
        <v>-3.2036613272311214E-2</v>
      </c>
      <c r="JK26" s="145">
        <f t="shared" si="44"/>
        <v>7.8014184397163122E-2</v>
      </c>
      <c r="JL26" s="145">
        <f t="shared" si="44"/>
        <v>-9.8684210526315791E-2</v>
      </c>
      <c r="JM26" s="145">
        <f t="shared" si="44"/>
        <v>-5.8394160583941604E-2</v>
      </c>
      <c r="JN26" s="145">
        <f t="shared" si="44"/>
        <v>-0.21705426356589147</v>
      </c>
      <c r="JO26" s="145">
        <f t="shared" ref="JO26:JX28" si="45">(BU26-BT26)/BT26</f>
        <v>-6.6006600660066E-2</v>
      </c>
      <c r="JP26" s="145">
        <f t="shared" si="45"/>
        <v>-0.1166077738515901</v>
      </c>
      <c r="JQ26" s="145">
        <f t="shared" si="45"/>
        <v>-1.2E-2</v>
      </c>
      <c r="JR26" s="145">
        <f t="shared" si="45"/>
        <v>-4.8582995951417005E-2</v>
      </c>
      <c r="JS26" s="145">
        <f t="shared" si="45"/>
        <v>-0.21702127659574469</v>
      </c>
      <c r="JT26" s="145">
        <f t="shared" si="45"/>
        <v>0.31521739130434784</v>
      </c>
      <c r="JU26" s="145">
        <f t="shared" si="45"/>
        <v>9.0909090909090912E-2</v>
      </c>
      <c r="JV26" s="145">
        <f t="shared" si="45"/>
        <v>7.9545454545454544E-2</v>
      </c>
      <c r="JW26" s="145">
        <f t="shared" si="45"/>
        <v>3.5087719298245612E-2</v>
      </c>
      <c r="JX26" s="145">
        <f t="shared" si="45"/>
        <v>1.0169491525423728E-2</v>
      </c>
      <c r="JY26" s="145">
        <f t="shared" ref="JY26:KH28" si="46">(CE26-CD26)/CD26</f>
        <v>-1.6778523489932886E-2</v>
      </c>
      <c r="JZ26" s="145">
        <f t="shared" si="46"/>
        <v>-0.13310580204778158</v>
      </c>
      <c r="KA26" s="145">
        <f t="shared" si="46"/>
        <v>-0.1141732283464567</v>
      </c>
      <c r="KB26" s="145">
        <f t="shared" si="46"/>
        <v>-5.3333333333333337E-2</v>
      </c>
      <c r="KC26" s="145">
        <f t="shared" si="46"/>
        <v>-9.8591549295774641E-2</v>
      </c>
      <c r="KD26" s="145">
        <f t="shared" si="46"/>
        <v>0.19270833333333334</v>
      </c>
      <c r="KE26" s="145">
        <f t="shared" si="46"/>
        <v>-0.22707423580786026</v>
      </c>
      <c r="KF26" s="145">
        <f t="shared" si="46"/>
        <v>0.12429378531073447</v>
      </c>
      <c r="KG26" s="145">
        <f t="shared" si="46"/>
        <v>0.34673366834170855</v>
      </c>
      <c r="KH26" s="145">
        <f t="shared" si="46"/>
        <v>0.20149253731343283</v>
      </c>
      <c r="KI26" s="145">
        <f t="shared" ref="KI26:KR28" si="47">(CO26-CN26)/CN26</f>
        <v>-7.7639751552795025E-2</v>
      </c>
      <c r="KJ26" s="145">
        <f t="shared" si="47"/>
        <v>-1.0101010101010102E-2</v>
      </c>
      <c r="KK26" s="145">
        <f t="shared" si="47"/>
        <v>4.7619047619047616E-2</v>
      </c>
      <c r="KL26" s="145">
        <f t="shared" si="47"/>
        <v>-0.18506493506493507</v>
      </c>
      <c r="KM26" s="145">
        <f t="shared" si="47"/>
        <v>1.5936254980079681E-2</v>
      </c>
      <c r="KN26" s="145">
        <f t="shared" si="47"/>
        <v>-8.2352941176470587E-2</v>
      </c>
      <c r="KO26" s="145">
        <f t="shared" si="47"/>
        <v>-8.11965811965812E-2</v>
      </c>
      <c r="KP26" s="145">
        <f t="shared" si="47"/>
        <v>6.5116279069767441E-2</v>
      </c>
      <c r="KQ26" s="145">
        <f t="shared" si="47"/>
        <v>-0.23144104803493451</v>
      </c>
      <c r="KR26" s="145">
        <f t="shared" si="47"/>
        <v>0.3125</v>
      </c>
      <c r="KS26" s="145">
        <f t="shared" ref="KS26:LB28" si="48">(CY26-CX26)/CX26</f>
        <v>0.22510822510822512</v>
      </c>
      <c r="KT26" s="145">
        <f t="shared" si="48"/>
        <v>0.11307420494699646</v>
      </c>
      <c r="KU26" s="145">
        <f t="shared" si="48"/>
        <v>-4.1269841269841269E-2</v>
      </c>
      <c r="KV26" s="145">
        <f t="shared" si="48"/>
        <v>-1.6556291390728478E-2</v>
      </c>
      <c r="KW26" s="145">
        <f t="shared" si="48"/>
        <v>-0.15151515151515152</v>
      </c>
      <c r="KX26" s="145">
        <f t="shared" si="48"/>
        <v>6.7460317460317457E-2</v>
      </c>
      <c r="KY26" s="145">
        <f t="shared" si="48"/>
        <v>-9.6654275092936809E-2</v>
      </c>
      <c r="KZ26" s="145">
        <f t="shared" si="48"/>
        <v>-3.7037037037037035E-2</v>
      </c>
      <c r="LA26" s="145">
        <f t="shared" si="48"/>
        <v>-2.9914529914529916E-2</v>
      </c>
      <c r="LB26" s="145">
        <f t="shared" si="48"/>
        <v>-8.8105726872246701E-2</v>
      </c>
      <c r="LC26" s="145">
        <f t="shared" ref="LC26:LD28" si="49">(DI26-DH26)/DH26</f>
        <v>-0.1111111111111111</v>
      </c>
      <c r="LD26" s="145">
        <f t="shared" si="49"/>
        <v>0.22826086956521738</v>
      </c>
      <c r="LE26" s="145">
        <f t="shared" si="34"/>
        <v>0.35398230088495575</v>
      </c>
      <c r="LF26" s="145">
        <f t="shared" si="34"/>
        <v>-1.6339869281045753E-2</v>
      </c>
      <c r="LG26" s="145">
        <f t="shared" si="34"/>
        <v>9.9667774086378731E-3</v>
      </c>
      <c r="LH26" s="145">
        <f t="shared" si="34"/>
        <v>-3.6184210526315791E-2</v>
      </c>
      <c r="LI26" s="145">
        <f t="shared" si="34"/>
        <v>-0.16382252559726962</v>
      </c>
      <c r="LJ26" s="145">
        <f t="shared" si="34"/>
        <v>-8.5714285714285715E-2</v>
      </c>
      <c r="LK26" s="145">
        <f t="shared" si="34"/>
        <v>-5.3571428571428568E-2</v>
      </c>
      <c r="LL26" s="145">
        <f t="shared" si="34"/>
        <v>4.7169811320754715E-3</v>
      </c>
      <c r="LM26" s="145">
        <f t="shared" si="34"/>
        <v>9.3896713615023476E-3</v>
      </c>
      <c r="LN26" s="145">
        <f t="shared" si="34"/>
        <v>2.7906976744186046E-2</v>
      </c>
      <c r="LO26" s="145">
        <f t="shared" si="35"/>
        <v>-0.12217194570135746</v>
      </c>
      <c r="LP26" s="145">
        <f t="shared" si="35"/>
        <v>0.26288659793814434</v>
      </c>
      <c r="LQ26" s="145">
        <f t="shared" si="35"/>
        <v>0.14693877551020409</v>
      </c>
      <c r="LR26" s="145">
        <f t="shared" si="35"/>
        <v>-2.491103202846975E-2</v>
      </c>
      <c r="LS26" s="145">
        <f t="shared" si="35"/>
        <v>-4.3795620437956206E-2</v>
      </c>
      <c r="LT26" s="145">
        <f t="shared" si="35"/>
        <v>-3.0534351145038167E-2</v>
      </c>
      <c r="LU26" s="145">
        <f t="shared" si="35"/>
        <v>-0.12992125984251968</v>
      </c>
      <c r="LV26" s="145">
        <f t="shared" si="35"/>
        <v>0</v>
      </c>
      <c r="LW26" s="145">
        <f t="shared" si="35"/>
        <v>-0.14479638009049775</v>
      </c>
      <c r="LX26" s="145">
        <f t="shared" si="35"/>
        <v>4.7619047619047616E-2</v>
      </c>
      <c r="LY26" s="145">
        <f t="shared" si="36"/>
        <v>-0.18686868686868688</v>
      </c>
      <c r="LZ26" s="145">
        <f t="shared" si="36"/>
        <v>9.9378881987577633E-2</v>
      </c>
      <c r="MA26" s="145">
        <f t="shared" si="36"/>
        <v>-0.15254237288135594</v>
      </c>
      <c r="MB26" s="145">
        <f t="shared" si="36"/>
        <v>0.24666666666666667</v>
      </c>
      <c r="MC26" s="145">
        <f t="shared" si="36"/>
        <v>0.19251336898395721</v>
      </c>
      <c r="MD26" s="145">
        <f t="shared" si="36"/>
        <v>9.8654708520179366E-2</v>
      </c>
      <c r="ME26" s="145">
        <f t="shared" si="36"/>
        <v>0.14693877551020409</v>
      </c>
      <c r="MF26" s="145">
        <f t="shared" si="36"/>
        <v>-7.8291814946619215E-2</v>
      </c>
      <c r="MG26" s="145">
        <f t="shared" si="36"/>
        <v>-7.7220077220077218E-2</v>
      </c>
      <c r="MH26" s="145">
        <f t="shared" si="36"/>
        <v>-4.1841004184100417E-2</v>
      </c>
      <c r="MI26" s="145">
        <f t="shared" si="37"/>
        <v>-3.9301310043668124E-2</v>
      </c>
      <c r="MJ26" s="145">
        <f t="shared" si="37"/>
        <v>-6.363636363636363E-2</v>
      </c>
      <c r="MK26" s="145">
        <f t="shared" si="37"/>
        <v>3.3980582524271843E-2</v>
      </c>
      <c r="ML26" s="145">
        <f t="shared" si="37"/>
        <v>0.10328638497652583</v>
      </c>
      <c r="MM26" s="145">
        <f t="shared" si="37"/>
        <v>-0.34893617021276596</v>
      </c>
      <c r="MN26" s="145">
        <f t="shared" si="37"/>
        <v>0.29411764705882354</v>
      </c>
      <c r="MO26" s="145">
        <f t="shared" si="37"/>
        <v>0.20202020202020202</v>
      </c>
      <c r="MP26" s="145">
        <f t="shared" si="37"/>
        <v>-0.23109243697478993</v>
      </c>
      <c r="MQ26" s="145">
        <f t="shared" si="37"/>
        <v>-8.7431693989071038E-2</v>
      </c>
      <c r="MR26" s="145">
        <f t="shared" si="37"/>
        <v>0.21556886227544911</v>
      </c>
      <c r="MS26" s="145">
        <f>(EZ26-EY26)/EY26</f>
        <v>-9.9601593625498003E-2</v>
      </c>
      <c r="MT26" s="145">
        <f t="shared" si="30"/>
        <v>-0.11061946902654868</v>
      </c>
      <c r="MU26" s="145">
        <f t="shared" si="30"/>
        <v>6.2240663900414939E-2</v>
      </c>
      <c r="MV26" s="145">
        <f t="shared" si="30"/>
        <v>-5.701754385964912E-2</v>
      </c>
      <c r="MW26" s="145">
        <f t="shared" si="30"/>
        <v>0.10588235294117647</v>
      </c>
      <c r="MX26" s="145">
        <f t="shared" si="30"/>
        <v>-2.4096385542168676E-2</v>
      </c>
      <c r="MY26" s="145">
        <f t="shared" si="30"/>
        <v>-0.32446808510638298</v>
      </c>
      <c r="MZ26" s="145">
        <f t="shared" si="30"/>
        <v>0.19658119658119658</v>
      </c>
      <c r="NA26" s="145">
        <f t="shared" si="30"/>
        <v>2.0920502092050208E-2</v>
      </c>
      <c r="NB26" s="145">
        <f t="shared" si="30"/>
        <v>-3.017241379310345E-2</v>
      </c>
      <c r="NC26" s="145">
        <f t="shared" si="30"/>
        <v>-5.4545454545454543E-2</v>
      </c>
      <c r="ND26" s="145">
        <f t="shared" si="31"/>
        <v>5.5793991416309016E-2</v>
      </c>
      <c r="NE26" s="145">
        <f t="shared" si="31"/>
        <v>-0.15346534653465346</v>
      </c>
      <c r="NF26" s="145">
        <f t="shared" si="31"/>
        <v>-0.23170731707317074</v>
      </c>
      <c r="NG26" s="145">
        <f t="shared" si="31"/>
        <v>0.17587939698492464</v>
      </c>
      <c r="NH26" s="145">
        <f t="shared" si="31"/>
        <v>-0.13068181818181818</v>
      </c>
      <c r="NI26" s="145">
        <f t="shared" si="31"/>
        <v>5.8823529411764705E-2</v>
      </c>
      <c r="NJ26" s="145">
        <f t="shared" si="31"/>
        <v>-8.7209302325581398E-2</v>
      </c>
      <c r="NK26" s="145">
        <f t="shared" si="31"/>
        <v>-0.25547445255474455</v>
      </c>
      <c r="NL26" s="145">
        <f t="shared" si="31"/>
        <v>0.12738853503184713</v>
      </c>
      <c r="NM26" s="145">
        <f t="shared" si="31"/>
        <v>5.4216867469879519E-2</v>
      </c>
      <c r="NN26" s="145">
        <f t="shared" si="32"/>
        <v>-0.12925170068027211</v>
      </c>
      <c r="NO26" s="145">
        <f t="shared" si="32"/>
        <v>9.2592592592592587E-2</v>
      </c>
      <c r="NP26" s="145">
        <f t="shared" si="32"/>
        <v>-0.45945945945945948</v>
      </c>
      <c r="NQ26" s="145">
        <f t="shared" si="32"/>
        <v>-9.0909090909090905E-3</v>
      </c>
      <c r="NR26" s="145">
        <f t="shared" si="32"/>
        <v>9.8360655737704916E-2</v>
      </c>
      <c r="NS26" s="145">
        <f t="shared" si="32"/>
        <v>-9.1666666666666661</v>
      </c>
      <c r="NT26" s="145">
        <f t="shared" si="32"/>
        <v>0.89473684210526316</v>
      </c>
      <c r="NU26" s="145">
        <f t="shared" si="32"/>
        <v>8.6956521739130436E-3</v>
      </c>
      <c r="NV26" s="145">
        <f t="shared" si="32"/>
        <v>-7.476635514018691E-2</v>
      </c>
      <c r="NW26" s="145">
        <f t="shared" si="32"/>
        <v>-0.32098765432098764</v>
      </c>
      <c r="NX26" s="145">
        <f t="shared" si="33"/>
        <v>5.8139534883720929E-2</v>
      </c>
      <c r="NY26" s="145">
        <f t="shared" si="33"/>
        <v>0.18867924528301888</v>
      </c>
      <c r="NZ26" s="145">
        <f t="shared" si="33"/>
        <v>1.8518518518518517E-2</v>
      </c>
      <c r="OA26" s="145">
        <f t="shared" si="33"/>
        <v>0.14285714285714285</v>
      </c>
      <c r="OB26" s="145">
        <f t="shared" si="33"/>
        <v>-8.6206896551724144E-2</v>
      </c>
      <c r="OC26" s="145">
        <f t="shared" si="33"/>
        <v>-0.22105263157894736</v>
      </c>
      <c r="OD26" s="145">
        <f t="shared" si="33"/>
        <v>-0.20253164556962025</v>
      </c>
      <c r="OE26" s="145">
        <f t="shared" si="33"/>
        <v>-8.2191780821917804E-2</v>
      </c>
      <c r="OF26" s="145">
        <f t="shared" si="33"/>
        <v>-0.12307692307692308</v>
      </c>
      <c r="OG26" s="145">
        <f t="shared" si="33"/>
        <v>9.7222222222222224E-2</v>
      </c>
      <c r="OH26" s="145">
        <f t="shared" si="33"/>
        <v>0.1</v>
      </c>
      <c r="OI26" s="145">
        <f t="shared" si="33"/>
        <v>-0.37931034482758619</v>
      </c>
      <c r="OJ26" s="145">
        <f t="shared" si="33"/>
        <v>0.37634408602150538</v>
      </c>
      <c r="OK26" s="145">
        <f t="shared" si="33"/>
        <v>3.125E-2</v>
      </c>
      <c r="OL26" s="145">
        <f t="shared" si="33"/>
        <v>-0.10344827586206896</v>
      </c>
    </row>
    <row r="27" spans="1:402" s="145" customFormat="1" ht="19.5" customHeight="1" x14ac:dyDescent="0.35">
      <c r="A27" s="12" t="s">
        <v>33</v>
      </c>
      <c r="B27" s="156">
        <f>'[1]Sept 07'!C9</f>
        <v>144</v>
      </c>
      <c r="C27" s="156">
        <f>'[1]Oct 07'!C9</f>
        <v>184</v>
      </c>
      <c r="D27" s="156">
        <f>'[1]Nov 07'!C9</f>
        <v>125</v>
      </c>
      <c r="E27" s="156">
        <f>'[1]Dec 07'!C9</f>
        <v>146</v>
      </c>
      <c r="F27" s="156">
        <f>'[1]Jan 08'!C9</f>
        <v>148</v>
      </c>
      <c r="G27" s="143">
        <f>'[1]Feb 08'!C9</f>
        <v>180</v>
      </c>
      <c r="H27" s="143">
        <f>'[1]Mar 08'!C9</f>
        <v>190</v>
      </c>
      <c r="I27" s="143">
        <v>225</v>
      </c>
      <c r="J27" s="143">
        <f>'[1]May 08'!C9</f>
        <v>253</v>
      </c>
      <c r="K27" s="143">
        <f>'[1]Jun 08'!C9</f>
        <v>271</v>
      </c>
      <c r="L27" s="143">
        <f>'[1]Jul 08'!C9</f>
        <v>245</v>
      </c>
      <c r="M27" s="143">
        <f>'[1]Aug 08'!C9</f>
        <v>235</v>
      </c>
      <c r="N27" s="143">
        <v>202</v>
      </c>
      <c r="O27" s="143">
        <v>200</v>
      </c>
      <c r="P27" s="143">
        <v>155</v>
      </c>
      <c r="Q27" s="143">
        <v>200</v>
      </c>
      <c r="R27" s="143">
        <v>155</v>
      </c>
      <c r="S27" s="143">
        <v>172</v>
      </c>
      <c r="T27" s="143">
        <v>209</v>
      </c>
      <c r="U27" s="143">
        <v>263</v>
      </c>
      <c r="V27" s="143">
        <v>307</v>
      </c>
      <c r="W27" s="143">
        <v>385</v>
      </c>
      <c r="X27" s="143">
        <v>350</v>
      </c>
      <c r="Y27" s="143">
        <v>298</v>
      </c>
      <c r="Z27" s="143">
        <v>314</v>
      </c>
      <c r="AA27" s="143">
        <v>310</v>
      </c>
      <c r="AB27" s="143">
        <v>311</v>
      </c>
      <c r="AC27" s="143">
        <v>326</v>
      </c>
      <c r="AD27" s="143">
        <v>225</v>
      </c>
      <c r="AE27" s="143">
        <v>262</v>
      </c>
      <c r="AF27" s="143">
        <v>388</v>
      </c>
      <c r="AG27" s="143">
        <v>392</v>
      </c>
      <c r="AH27" s="143">
        <v>393</v>
      </c>
      <c r="AI27" s="143">
        <v>394</v>
      </c>
      <c r="AJ27" s="143">
        <v>333</v>
      </c>
      <c r="AK27" s="143">
        <v>307</v>
      </c>
      <c r="AL27" s="143">
        <v>265</v>
      </c>
      <c r="AM27" s="143">
        <v>301</v>
      </c>
      <c r="AN27" s="143">
        <v>294</v>
      </c>
      <c r="AO27" s="143">
        <v>354</v>
      </c>
      <c r="AP27" s="143">
        <v>299</v>
      </c>
      <c r="AQ27" s="143">
        <v>350</v>
      </c>
      <c r="AR27" s="143">
        <v>384</v>
      </c>
      <c r="AS27" s="143">
        <v>433</v>
      </c>
      <c r="AT27" s="143">
        <v>425</v>
      </c>
      <c r="AU27" s="143">
        <v>519</v>
      </c>
      <c r="AV27" s="143">
        <v>374</v>
      </c>
      <c r="AW27" s="143">
        <v>402</v>
      </c>
      <c r="AX27" s="143">
        <v>349</v>
      </c>
      <c r="AY27" s="143">
        <v>363</v>
      </c>
      <c r="AZ27" s="143">
        <v>297</v>
      </c>
      <c r="BA27" s="143">
        <v>366</v>
      </c>
      <c r="BB27" s="143">
        <v>293</v>
      </c>
      <c r="BC27" s="143">
        <v>353</v>
      </c>
      <c r="BD27" s="143">
        <v>445</v>
      </c>
      <c r="BE27" s="143">
        <v>464</v>
      </c>
      <c r="BF27" s="143">
        <v>509</v>
      </c>
      <c r="BG27" s="143">
        <v>446</v>
      </c>
      <c r="BH27" s="143">
        <v>377</v>
      </c>
      <c r="BI27" s="143">
        <v>402</v>
      </c>
      <c r="BJ27" s="143">
        <v>345</v>
      </c>
      <c r="BK27" s="143">
        <v>358</v>
      </c>
      <c r="BL27" s="143">
        <v>349</v>
      </c>
      <c r="BM27" s="143">
        <v>360</v>
      </c>
      <c r="BN27" s="143">
        <v>305</v>
      </c>
      <c r="BO27" s="143">
        <v>346</v>
      </c>
      <c r="BP27" s="143">
        <v>453</v>
      </c>
      <c r="BQ27" s="143">
        <v>478</v>
      </c>
      <c r="BR27" s="143">
        <v>471</v>
      </c>
      <c r="BS27" s="143">
        <v>470</v>
      </c>
      <c r="BT27" s="143">
        <v>454</v>
      </c>
      <c r="BU27" s="143">
        <v>342</v>
      </c>
      <c r="BV27" s="143">
        <v>311</v>
      </c>
      <c r="BW27" s="143">
        <v>291</v>
      </c>
      <c r="BX27" s="143">
        <v>284</v>
      </c>
      <c r="BY27" s="143">
        <v>281</v>
      </c>
      <c r="BZ27" s="143">
        <v>226</v>
      </c>
      <c r="CA27" s="143">
        <v>270</v>
      </c>
      <c r="CB27" s="143">
        <v>321</v>
      </c>
      <c r="CC27" s="143">
        <v>384</v>
      </c>
      <c r="CD27" s="143">
        <v>368</v>
      </c>
      <c r="CE27" s="143">
        <v>402</v>
      </c>
      <c r="CF27" s="143">
        <v>362</v>
      </c>
      <c r="CG27" s="143">
        <v>324</v>
      </c>
      <c r="CH27" s="143">
        <v>314</v>
      </c>
      <c r="CI27" s="143">
        <v>296</v>
      </c>
      <c r="CJ27" s="143">
        <v>227</v>
      </c>
      <c r="CK27" s="143">
        <v>320</v>
      </c>
      <c r="CL27" s="143">
        <v>256</v>
      </c>
      <c r="CM27" s="143">
        <v>260</v>
      </c>
      <c r="CN27" s="143">
        <v>404</v>
      </c>
      <c r="CO27" s="143">
        <v>415</v>
      </c>
      <c r="CP27" s="143">
        <v>400</v>
      </c>
      <c r="CQ27" s="143">
        <v>405</v>
      </c>
      <c r="CR27" s="143">
        <v>430</v>
      </c>
      <c r="CS27" s="143">
        <v>337</v>
      </c>
      <c r="CT27" s="143">
        <v>367</v>
      </c>
      <c r="CU27" s="143">
        <v>338</v>
      </c>
      <c r="CV27" s="143">
        <v>265</v>
      </c>
      <c r="CW27" s="143">
        <v>297</v>
      </c>
      <c r="CX27" s="143">
        <v>227</v>
      </c>
      <c r="CY27" s="143">
        <v>274</v>
      </c>
      <c r="CZ27" s="143">
        <v>408</v>
      </c>
      <c r="DA27" s="143">
        <v>448</v>
      </c>
      <c r="DB27" s="143">
        <v>420</v>
      </c>
      <c r="DC27" s="143">
        <v>437</v>
      </c>
      <c r="DD27" s="143">
        <v>337</v>
      </c>
      <c r="DE27" s="143">
        <v>398</v>
      </c>
      <c r="DF27" s="143">
        <v>354</v>
      </c>
      <c r="DG27" s="143">
        <v>345</v>
      </c>
      <c r="DH27" s="143">
        <v>318</v>
      </c>
      <c r="DI27" s="143">
        <v>339</v>
      </c>
      <c r="DJ27" s="143">
        <v>301</v>
      </c>
      <c r="DK27" s="143">
        <v>308</v>
      </c>
      <c r="DL27" s="143">
        <v>449</v>
      </c>
      <c r="DM27" s="143">
        <v>416</v>
      </c>
      <c r="DN27" s="143">
        <v>481</v>
      </c>
      <c r="DO27" s="143">
        <v>439</v>
      </c>
      <c r="DP27" s="143">
        <v>354</v>
      </c>
      <c r="DQ27" s="143">
        <v>376</v>
      </c>
      <c r="DR27" s="143">
        <v>321</v>
      </c>
      <c r="DS27" s="143">
        <v>357</v>
      </c>
      <c r="DT27" s="143">
        <v>330</v>
      </c>
      <c r="DU27" s="143">
        <v>340</v>
      </c>
      <c r="DV27" s="143">
        <v>314</v>
      </c>
      <c r="DW27" s="143">
        <v>356</v>
      </c>
      <c r="DX27" s="143">
        <v>420</v>
      </c>
      <c r="DY27" s="143">
        <v>436</v>
      </c>
      <c r="DZ27" s="143">
        <v>486</v>
      </c>
      <c r="EA27" s="143">
        <v>441</v>
      </c>
      <c r="EB27" s="143">
        <v>392</v>
      </c>
      <c r="EC27" s="143">
        <v>358</v>
      </c>
      <c r="ED27" s="143">
        <v>274</v>
      </c>
      <c r="EE27" s="143">
        <v>303</v>
      </c>
      <c r="EF27" s="143">
        <v>286</v>
      </c>
      <c r="EG27" s="143">
        <v>284</v>
      </c>
      <c r="EH27" s="143">
        <v>268</v>
      </c>
      <c r="EI27" s="143">
        <v>302</v>
      </c>
      <c r="EJ27" s="143">
        <v>376</v>
      </c>
      <c r="EK27" s="143">
        <v>424</v>
      </c>
      <c r="EL27" s="143">
        <v>497</v>
      </c>
      <c r="EM27" s="143">
        <v>420</v>
      </c>
      <c r="EN27" s="143">
        <v>395</v>
      </c>
      <c r="EO27" s="143">
        <v>395</v>
      </c>
      <c r="EP27" s="143">
        <v>372</v>
      </c>
      <c r="EQ27" s="143">
        <v>363</v>
      </c>
      <c r="ER27" s="143">
        <v>280</v>
      </c>
      <c r="ES27" s="143">
        <v>364</v>
      </c>
      <c r="ET27" s="143">
        <v>263</v>
      </c>
      <c r="EU27" s="143">
        <v>329</v>
      </c>
      <c r="EV27" s="143">
        <v>357</v>
      </c>
      <c r="EW27" s="143">
        <v>251</v>
      </c>
      <c r="EX27" s="143">
        <v>256</v>
      </c>
      <c r="EY27" s="143">
        <v>417</v>
      </c>
      <c r="EZ27" s="143">
        <v>428</v>
      </c>
      <c r="FA27" s="143">
        <v>392</v>
      </c>
      <c r="FB27" s="143">
        <v>380</v>
      </c>
      <c r="FC27" s="143">
        <v>419</v>
      </c>
      <c r="FD27" s="143">
        <v>378</v>
      </c>
      <c r="FE27" s="143">
        <v>404</v>
      </c>
      <c r="FF27" s="143">
        <v>336</v>
      </c>
      <c r="FG27" s="143">
        <v>350</v>
      </c>
      <c r="FH27" s="143">
        <v>400</v>
      </c>
      <c r="FI27" s="143">
        <v>400</v>
      </c>
      <c r="FJ27" s="143">
        <v>369</v>
      </c>
      <c r="FK27" s="143">
        <v>359</v>
      </c>
      <c r="FL27" s="143">
        <v>323</v>
      </c>
      <c r="FM27" s="143">
        <v>300</v>
      </c>
      <c r="FN27" s="143">
        <v>306</v>
      </c>
      <c r="FO27" s="143">
        <v>265</v>
      </c>
      <c r="FP27" s="143">
        <v>316</v>
      </c>
      <c r="FQ27" s="143">
        <v>271</v>
      </c>
      <c r="FR27" s="143">
        <v>217</v>
      </c>
      <c r="FS27" s="143">
        <v>226</v>
      </c>
      <c r="FT27" s="143">
        <v>251</v>
      </c>
      <c r="FU27" s="143">
        <v>240</v>
      </c>
      <c r="FV27" s="143">
        <v>240</v>
      </c>
      <c r="FW27" s="143">
        <v>190</v>
      </c>
      <c r="FX27" s="143">
        <v>123</v>
      </c>
      <c r="FY27" s="143">
        <v>168</v>
      </c>
      <c r="FZ27" s="143">
        <v>152</v>
      </c>
      <c r="GA27" s="143">
        <v>134</v>
      </c>
      <c r="GB27" s="143">
        <v>132</v>
      </c>
      <c r="GC27" s="143">
        <v>127</v>
      </c>
      <c r="GD27" s="143">
        <v>108</v>
      </c>
      <c r="GE27" s="143">
        <v>119</v>
      </c>
      <c r="GF27" s="143">
        <v>203</v>
      </c>
      <c r="GG27" s="143">
        <v>153</v>
      </c>
      <c r="GH27" s="143">
        <v>200</v>
      </c>
      <c r="GI27" s="143">
        <v>206</v>
      </c>
      <c r="GJ27" s="143">
        <v>160</v>
      </c>
      <c r="GK27" s="143">
        <v>160</v>
      </c>
      <c r="GL27" s="143">
        <v>137</v>
      </c>
      <c r="GM27" s="143">
        <v>115</v>
      </c>
      <c r="GN27" s="143">
        <v>126</v>
      </c>
      <c r="GO27" s="143">
        <v>132</v>
      </c>
      <c r="GP27" s="143">
        <v>122</v>
      </c>
      <c r="GQ27" s="143">
        <v>138</v>
      </c>
      <c r="GR27" s="143">
        <v>149</v>
      </c>
      <c r="GS27" s="143">
        <f>SUM(B27:GR27)/198</f>
        <v>315.28787878787881</v>
      </c>
      <c r="GT27" s="152"/>
      <c r="GU27" s="12" t="s">
        <v>33</v>
      </c>
      <c r="GV27" s="145" t="s">
        <v>30</v>
      </c>
      <c r="GW27" s="145">
        <f t="shared" si="38"/>
        <v>0.27777777777777779</v>
      </c>
      <c r="GX27" s="145">
        <f t="shared" si="38"/>
        <v>-0.32065217391304346</v>
      </c>
      <c r="GY27" s="145">
        <f t="shared" si="38"/>
        <v>0.16800000000000001</v>
      </c>
      <c r="GZ27" s="145">
        <f t="shared" si="38"/>
        <v>1.3698630136986301E-2</v>
      </c>
      <c r="HA27" s="145">
        <f t="shared" si="38"/>
        <v>0.21621621621621623</v>
      </c>
      <c r="HB27" s="145">
        <f t="shared" si="38"/>
        <v>5.5555555555555552E-2</v>
      </c>
      <c r="HC27" s="145">
        <f t="shared" si="38"/>
        <v>0.18421052631578946</v>
      </c>
      <c r="HD27" s="145">
        <f t="shared" si="38"/>
        <v>0.12444444444444444</v>
      </c>
      <c r="HE27" s="145">
        <f t="shared" si="38"/>
        <v>7.1146245059288543E-2</v>
      </c>
      <c r="HF27" s="145">
        <f t="shared" si="38"/>
        <v>-9.5940959409594101E-2</v>
      </c>
      <c r="HG27" s="145">
        <f t="shared" si="39"/>
        <v>-4.0816326530612242E-2</v>
      </c>
      <c r="HH27" s="145">
        <f t="shared" si="39"/>
        <v>-0.14042553191489363</v>
      </c>
      <c r="HI27" s="145">
        <f t="shared" si="39"/>
        <v>-9.9009900990099011E-3</v>
      </c>
      <c r="HJ27" s="145">
        <f t="shared" si="39"/>
        <v>-0.22500000000000001</v>
      </c>
      <c r="HK27" s="145">
        <f t="shared" si="39"/>
        <v>0.29032258064516131</v>
      </c>
      <c r="HL27" s="145">
        <f t="shared" si="39"/>
        <v>-0.22500000000000001</v>
      </c>
      <c r="HM27" s="145">
        <f t="shared" si="39"/>
        <v>0.10967741935483871</v>
      </c>
      <c r="HN27" s="145">
        <f t="shared" si="39"/>
        <v>0.21511627906976744</v>
      </c>
      <c r="HO27" s="145">
        <f t="shared" si="39"/>
        <v>0.25837320574162681</v>
      </c>
      <c r="HP27" s="145">
        <f t="shared" si="39"/>
        <v>0.16730038022813687</v>
      </c>
      <c r="HQ27" s="145">
        <f t="shared" si="40"/>
        <v>0.25407166123778502</v>
      </c>
      <c r="HR27" s="145">
        <f t="shared" si="40"/>
        <v>-9.0909090909090912E-2</v>
      </c>
      <c r="HS27" s="145">
        <f t="shared" si="40"/>
        <v>-0.14857142857142858</v>
      </c>
      <c r="HT27" s="145">
        <f t="shared" si="40"/>
        <v>5.3691275167785234E-2</v>
      </c>
      <c r="HU27" s="145">
        <f t="shared" si="40"/>
        <v>-1.2738853503184714E-2</v>
      </c>
      <c r="HV27" s="145">
        <f t="shared" si="40"/>
        <v>3.2258064516129032E-3</v>
      </c>
      <c r="HW27" s="145">
        <f t="shared" si="40"/>
        <v>4.8231511254019289E-2</v>
      </c>
      <c r="HX27" s="145">
        <f t="shared" si="40"/>
        <v>-0.30981595092024539</v>
      </c>
      <c r="HY27" s="145">
        <f t="shared" si="40"/>
        <v>0.16444444444444445</v>
      </c>
      <c r="HZ27" s="145">
        <f t="shared" si="40"/>
        <v>0.48091603053435117</v>
      </c>
      <c r="IA27" s="145">
        <f t="shared" si="41"/>
        <v>1.0309278350515464E-2</v>
      </c>
      <c r="IB27" s="145">
        <f t="shared" si="41"/>
        <v>2.5510204081632651E-3</v>
      </c>
      <c r="IC27" s="145">
        <f t="shared" si="41"/>
        <v>2.5445292620865142E-3</v>
      </c>
      <c r="ID27" s="145">
        <f t="shared" si="41"/>
        <v>-0.1548223350253807</v>
      </c>
      <c r="IE27" s="145">
        <f t="shared" si="41"/>
        <v>-7.8078078078078081E-2</v>
      </c>
      <c r="IF27" s="145">
        <f t="shared" si="41"/>
        <v>-0.13680781758957655</v>
      </c>
      <c r="IG27" s="145">
        <f t="shared" si="41"/>
        <v>0.13584905660377358</v>
      </c>
      <c r="IH27" s="145">
        <f t="shared" si="41"/>
        <v>-2.3255813953488372E-2</v>
      </c>
      <c r="II27" s="145">
        <f t="shared" si="41"/>
        <v>0.20408163265306123</v>
      </c>
      <c r="IJ27" s="145">
        <f t="shared" si="41"/>
        <v>-0.15536723163841809</v>
      </c>
      <c r="IK27" s="145">
        <f t="shared" si="42"/>
        <v>0.1705685618729097</v>
      </c>
      <c r="IL27" s="145">
        <f t="shared" si="42"/>
        <v>9.7142857142857142E-2</v>
      </c>
      <c r="IM27" s="145">
        <f t="shared" si="42"/>
        <v>0.12760416666666666</v>
      </c>
      <c r="IN27" s="145">
        <f t="shared" si="42"/>
        <v>-1.8475750577367205E-2</v>
      </c>
      <c r="IO27" s="145">
        <f t="shared" si="42"/>
        <v>0.22117647058823531</v>
      </c>
      <c r="IP27" s="145">
        <f t="shared" si="42"/>
        <v>-0.279383429672447</v>
      </c>
      <c r="IQ27" s="145">
        <f t="shared" si="42"/>
        <v>7.4866310160427801E-2</v>
      </c>
      <c r="IR27" s="145">
        <f t="shared" si="42"/>
        <v>-0.13184079601990051</v>
      </c>
      <c r="IS27" s="145">
        <f t="shared" si="42"/>
        <v>4.0114613180515762E-2</v>
      </c>
      <c r="IT27" s="145">
        <f t="shared" si="42"/>
        <v>-0.18181818181818182</v>
      </c>
      <c r="IU27" s="145">
        <f t="shared" si="43"/>
        <v>0.23232323232323232</v>
      </c>
      <c r="IV27" s="145">
        <f t="shared" si="43"/>
        <v>-0.19945355191256831</v>
      </c>
      <c r="IW27" s="145">
        <f t="shared" si="43"/>
        <v>0.20477815699658702</v>
      </c>
      <c r="IX27" s="145">
        <f t="shared" si="43"/>
        <v>0.26062322946175637</v>
      </c>
      <c r="IY27" s="145">
        <f t="shared" si="43"/>
        <v>4.2696629213483148E-2</v>
      </c>
      <c r="IZ27" s="145">
        <f t="shared" si="43"/>
        <v>9.6982758620689655E-2</v>
      </c>
      <c r="JA27" s="145">
        <f t="shared" si="43"/>
        <v>-0.1237721021611002</v>
      </c>
      <c r="JB27" s="145">
        <f t="shared" si="43"/>
        <v>-0.1547085201793722</v>
      </c>
      <c r="JC27" s="145">
        <f t="shared" si="43"/>
        <v>6.6312997347480113E-2</v>
      </c>
      <c r="JD27" s="145">
        <f t="shared" si="43"/>
        <v>-0.1417910447761194</v>
      </c>
      <c r="JE27" s="145">
        <f t="shared" si="44"/>
        <v>3.7681159420289857E-2</v>
      </c>
      <c r="JF27" s="145">
        <f t="shared" si="44"/>
        <v>-2.5139664804469275E-2</v>
      </c>
      <c r="JG27" s="145">
        <f t="shared" si="44"/>
        <v>3.151862464183381E-2</v>
      </c>
      <c r="JH27" s="145">
        <f t="shared" si="44"/>
        <v>-0.15277777777777779</v>
      </c>
      <c r="JI27" s="145">
        <f t="shared" si="44"/>
        <v>0.13442622950819672</v>
      </c>
      <c r="JJ27" s="145">
        <f t="shared" si="44"/>
        <v>0.30924855491329478</v>
      </c>
      <c r="JK27" s="145">
        <f t="shared" si="44"/>
        <v>5.518763796909492E-2</v>
      </c>
      <c r="JL27" s="145">
        <f t="shared" si="44"/>
        <v>-1.4644351464435146E-2</v>
      </c>
      <c r="JM27" s="145">
        <f t="shared" si="44"/>
        <v>-2.1231422505307855E-3</v>
      </c>
      <c r="JN27" s="145">
        <f t="shared" si="44"/>
        <v>-3.4042553191489362E-2</v>
      </c>
      <c r="JO27" s="145">
        <f t="shared" si="45"/>
        <v>-0.24669603524229075</v>
      </c>
      <c r="JP27" s="145">
        <f t="shared" si="45"/>
        <v>-9.0643274853801165E-2</v>
      </c>
      <c r="JQ27" s="145">
        <f t="shared" si="45"/>
        <v>-6.4308681672025719E-2</v>
      </c>
      <c r="JR27" s="145">
        <f t="shared" si="45"/>
        <v>-2.4054982817869417E-2</v>
      </c>
      <c r="JS27" s="145">
        <f t="shared" si="45"/>
        <v>-1.0563380281690141E-2</v>
      </c>
      <c r="JT27" s="145">
        <f t="shared" si="45"/>
        <v>-0.19572953736654805</v>
      </c>
      <c r="JU27" s="145">
        <f t="shared" si="45"/>
        <v>0.19469026548672566</v>
      </c>
      <c r="JV27" s="145">
        <f t="shared" si="45"/>
        <v>0.18888888888888888</v>
      </c>
      <c r="JW27" s="145">
        <f t="shared" si="45"/>
        <v>0.19626168224299065</v>
      </c>
      <c r="JX27" s="145">
        <f t="shared" si="45"/>
        <v>-4.1666666666666664E-2</v>
      </c>
      <c r="JY27" s="145">
        <f t="shared" si="46"/>
        <v>9.2391304347826081E-2</v>
      </c>
      <c r="JZ27" s="145">
        <f t="shared" si="46"/>
        <v>-9.950248756218906E-2</v>
      </c>
      <c r="KA27" s="145">
        <f t="shared" si="46"/>
        <v>-0.10497237569060773</v>
      </c>
      <c r="KB27" s="145">
        <f t="shared" si="46"/>
        <v>-3.0864197530864196E-2</v>
      </c>
      <c r="KC27" s="145">
        <f t="shared" si="46"/>
        <v>-5.7324840764331211E-2</v>
      </c>
      <c r="KD27" s="145">
        <f t="shared" si="46"/>
        <v>-0.23310810810810811</v>
      </c>
      <c r="KE27" s="145">
        <f t="shared" si="46"/>
        <v>0.40969162995594716</v>
      </c>
      <c r="KF27" s="145">
        <f t="shared" si="46"/>
        <v>-0.2</v>
      </c>
      <c r="KG27" s="145">
        <f t="shared" si="46"/>
        <v>1.5625E-2</v>
      </c>
      <c r="KH27" s="145">
        <f t="shared" si="46"/>
        <v>0.55384615384615388</v>
      </c>
      <c r="KI27" s="145">
        <f t="shared" si="47"/>
        <v>2.7227722772277228E-2</v>
      </c>
      <c r="KJ27" s="145">
        <f t="shared" si="47"/>
        <v>-3.614457831325301E-2</v>
      </c>
      <c r="KK27" s="145">
        <f t="shared" si="47"/>
        <v>1.2500000000000001E-2</v>
      </c>
      <c r="KL27" s="145">
        <f t="shared" si="47"/>
        <v>6.1728395061728392E-2</v>
      </c>
      <c r="KM27" s="145">
        <f t="shared" si="47"/>
        <v>-0.21627906976744185</v>
      </c>
      <c r="KN27" s="145">
        <f t="shared" si="47"/>
        <v>8.9020771513353122E-2</v>
      </c>
      <c r="KO27" s="145">
        <f t="shared" si="47"/>
        <v>-7.901907356948229E-2</v>
      </c>
      <c r="KP27" s="145">
        <f t="shared" si="47"/>
        <v>-0.21597633136094674</v>
      </c>
      <c r="KQ27" s="145">
        <f t="shared" si="47"/>
        <v>0.12075471698113208</v>
      </c>
      <c r="KR27" s="145">
        <f t="shared" si="47"/>
        <v>-0.2356902356902357</v>
      </c>
      <c r="KS27" s="145">
        <f t="shared" si="48"/>
        <v>0.20704845814977973</v>
      </c>
      <c r="KT27" s="145">
        <f t="shared" si="48"/>
        <v>0.48905109489051096</v>
      </c>
      <c r="KU27" s="145">
        <f t="shared" si="48"/>
        <v>9.8039215686274508E-2</v>
      </c>
      <c r="KV27" s="145">
        <f t="shared" si="48"/>
        <v>-6.25E-2</v>
      </c>
      <c r="KW27" s="145">
        <f t="shared" si="48"/>
        <v>4.0476190476190478E-2</v>
      </c>
      <c r="KX27" s="145">
        <f t="shared" si="48"/>
        <v>-0.2288329519450801</v>
      </c>
      <c r="KY27" s="145">
        <f t="shared" si="48"/>
        <v>0.18100890207715134</v>
      </c>
      <c r="KZ27" s="145">
        <f t="shared" si="48"/>
        <v>-0.11055276381909548</v>
      </c>
      <c r="LA27" s="145">
        <f t="shared" si="48"/>
        <v>-2.5423728813559324E-2</v>
      </c>
      <c r="LB27" s="145">
        <f t="shared" si="48"/>
        <v>-7.8260869565217397E-2</v>
      </c>
      <c r="LC27" s="145">
        <f t="shared" si="49"/>
        <v>6.6037735849056603E-2</v>
      </c>
      <c r="LD27" s="145">
        <f t="shared" si="49"/>
        <v>-0.11209439528023599</v>
      </c>
      <c r="LE27" s="145">
        <f t="shared" si="34"/>
        <v>2.3255813953488372E-2</v>
      </c>
      <c r="LF27" s="145">
        <f t="shared" si="34"/>
        <v>0.45779220779220781</v>
      </c>
      <c r="LG27" s="145">
        <f t="shared" si="34"/>
        <v>-7.3496659242761692E-2</v>
      </c>
      <c r="LH27" s="145">
        <f t="shared" si="34"/>
        <v>0.15625</v>
      </c>
      <c r="LI27" s="145">
        <f t="shared" si="34"/>
        <v>-8.7318087318087323E-2</v>
      </c>
      <c r="LJ27" s="145">
        <f t="shared" si="34"/>
        <v>-0.19362186788154898</v>
      </c>
      <c r="LK27" s="145">
        <f t="shared" si="34"/>
        <v>6.2146892655367235E-2</v>
      </c>
      <c r="LL27" s="145">
        <f t="shared" si="34"/>
        <v>-0.14627659574468085</v>
      </c>
      <c r="LM27" s="145">
        <f t="shared" si="34"/>
        <v>0.11214953271028037</v>
      </c>
      <c r="LN27" s="145">
        <f t="shared" si="34"/>
        <v>-7.5630252100840331E-2</v>
      </c>
      <c r="LO27" s="145">
        <f t="shared" si="35"/>
        <v>3.0303030303030304E-2</v>
      </c>
      <c r="LP27" s="145">
        <f t="shared" si="35"/>
        <v>-7.6470588235294124E-2</v>
      </c>
      <c r="LQ27" s="145">
        <f t="shared" si="35"/>
        <v>0.13375796178343949</v>
      </c>
      <c r="LR27" s="145">
        <f t="shared" si="35"/>
        <v>0.1797752808988764</v>
      </c>
      <c r="LS27" s="145">
        <f t="shared" si="35"/>
        <v>3.8095238095238099E-2</v>
      </c>
      <c r="LT27" s="145">
        <f t="shared" si="35"/>
        <v>0.11467889908256881</v>
      </c>
      <c r="LU27" s="145">
        <f t="shared" si="35"/>
        <v>-9.2592592592592587E-2</v>
      </c>
      <c r="LV27" s="145">
        <f t="shared" si="35"/>
        <v>-0.1111111111111111</v>
      </c>
      <c r="LW27" s="145">
        <f t="shared" si="35"/>
        <v>-8.673469387755102E-2</v>
      </c>
      <c r="LX27" s="145">
        <f t="shared" si="35"/>
        <v>-0.23463687150837989</v>
      </c>
      <c r="LY27" s="145">
        <f t="shared" si="36"/>
        <v>0.10583941605839416</v>
      </c>
      <c r="LZ27" s="145">
        <f t="shared" si="36"/>
        <v>-5.6105610561056105E-2</v>
      </c>
      <c r="MA27" s="145">
        <f t="shared" si="36"/>
        <v>-6.993006993006993E-3</v>
      </c>
      <c r="MB27" s="145">
        <f t="shared" si="36"/>
        <v>-5.6338028169014086E-2</v>
      </c>
      <c r="MC27" s="145">
        <f t="shared" si="36"/>
        <v>0.12686567164179105</v>
      </c>
      <c r="MD27" s="145">
        <f t="shared" si="36"/>
        <v>0.24503311258278146</v>
      </c>
      <c r="ME27" s="145">
        <f t="shared" si="36"/>
        <v>0.1276595744680851</v>
      </c>
      <c r="MF27" s="145">
        <f t="shared" si="36"/>
        <v>0.17216981132075471</v>
      </c>
      <c r="MG27" s="145">
        <f t="shared" si="36"/>
        <v>-0.15492957746478872</v>
      </c>
      <c r="MH27" s="145">
        <f t="shared" si="36"/>
        <v>-5.9523809523809521E-2</v>
      </c>
      <c r="MI27" s="145">
        <f t="shared" si="37"/>
        <v>0</v>
      </c>
      <c r="MJ27" s="145">
        <f t="shared" si="37"/>
        <v>-5.8227848101265821E-2</v>
      </c>
      <c r="MK27" s="145">
        <f t="shared" si="37"/>
        <v>-2.4193548387096774E-2</v>
      </c>
      <c r="ML27" s="145">
        <f t="shared" si="37"/>
        <v>-0.22865013774104684</v>
      </c>
      <c r="MM27" s="145">
        <f t="shared" si="37"/>
        <v>0.3</v>
      </c>
      <c r="MN27" s="145">
        <f t="shared" si="37"/>
        <v>-0.27747252747252749</v>
      </c>
      <c r="MO27" s="145">
        <f t="shared" si="37"/>
        <v>0.2509505703422053</v>
      </c>
      <c r="MP27" s="145">
        <f t="shared" si="37"/>
        <v>8.5106382978723402E-2</v>
      </c>
      <c r="MQ27" s="145">
        <f t="shared" si="37"/>
        <v>-0.2969187675070028</v>
      </c>
      <c r="MR27" s="145">
        <f t="shared" si="37"/>
        <v>1.9920318725099601E-2</v>
      </c>
      <c r="MS27" s="145">
        <f>(EZ27-EY27)/EY27</f>
        <v>2.6378896882494004E-2</v>
      </c>
      <c r="MT27" s="145">
        <f t="shared" si="30"/>
        <v>2.5700934579439252E-2</v>
      </c>
      <c r="MU27" s="145">
        <f t="shared" si="30"/>
        <v>-9.1836734693877556E-2</v>
      </c>
      <c r="MV27" s="145">
        <f t="shared" si="30"/>
        <v>-3.1578947368421054E-2</v>
      </c>
      <c r="MW27" s="145">
        <f t="shared" si="30"/>
        <v>9.3078758949880672E-2</v>
      </c>
      <c r="MX27" s="145">
        <f t="shared" si="30"/>
        <v>-0.10846560846560846</v>
      </c>
      <c r="MY27" s="145">
        <f t="shared" si="30"/>
        <v>6.4356435643564358E-2</v>
      </c>
      <c r="MZ27" s="145">
        <f t="shared" si="30"/>
        <v>-0.20238095238095238</v>
      </c>
      <c r="NA27" s="145">
        <f t="shared" si="30"/>
        <v>0.04</v>
      </c>
      <c r="NB27" s="145">
        <f t="shared" si="30"/>
        <v>0.125</v>
      </c>
      <c r="NC27" s="145">
        <f t="shared" si="30"/>
        <v>0</v>
      </c>
      <c r="ND27" s="145">
        <f t="shared" si="31"/>
        <v>-8.4010840108401083E-2</v>
      </c>
      <c r="NE27" s="145">
        <f t="shared" si="31"/>
        <v>-2.7855153203342618E-2</v>
      </c>
      <c r="NF27" s="145">
        <f t="shared" si="31"/>
        <v>-0.11145510835913312</v>
      </c>
      <c r="NG27" s="145">
        <f t="shared" si="31"/>
        <v>-7.6666666666666661E-2</v>
      </c>
      <c r="NH27" s="145">
        <f t="shared" si="31"/>
        <v>1.9607843137254902E-2</v>
      </c>
      <c r="NI27" s="145">
        <f t="shared" si="31"/>
        <v>-0.15471698113207547</v>
      </c>
      <c r="NJ27" s="145">
        <f t="shared" si="31"/>
        <v>0.16139240506329114</v>
      </c>
      <c r="NK27" s="145">
        <f t="shared" si="31"/>
        <v>-0.16605166051660517</v>
      </c>
      <c r="NL27" s="145">
        <f t="shared" si="31"/>
        <v>-0.24884792626728111</v>
      </c>
      <c r="NM27" s="145">
        <f t="shared" si="31"/>
        <v>3.9823008849557522E-2</v>
      </c>
      <c r="NN27" s="145">
        <f t="shared" si="32"/>
        <v>9.9601593625498003E-2</v>
      </c>
      <c r="NO27" s="145">
        <f t="shared" si="32"/>
        <v>-4.583333333333333E-2</v>
      </c>
      <c r="NP27" s="145">
        <f t="shared" si="32"/>
        <v>0</v>
      </c>
      <c r="NQ27" s="145">
        <f t="shared" si="32"/>
        <v>-0.26315789473684209</v>
      </c>
      <c r="NR27" s="145">
        <f t="shared" si="32"/>
        <v>-0.54471544715447151</v>
      </c>
      <c r="NS27" s="145">
        <f t="shared" si="32"/>
        <v>0.26785714285714285</v>
      </c>
      <c r="NT27" s="145">
        <f t="shared" si="32"/>
        <v>-0.10526315789473684</v>
      </c>
      <c r="NU27" s="145">
        <f t="shared" si="32"/>
        <v>-0.13432835820895522</v>
      </c>
      <c r="NV27" s="145">
        <f t="shared" si="32"/>
        <v>-1.5151515151515152E-2</v>
      </c>
      <c r="NW27" s="145">
        <f t="shared" si="32"/>
        <v>-3.937007874015748E-2</v>
      </c>
      <c r="NX27" s="145">
        <f t="shared" si="33"/>
        <v>-0.17592592592592593</v>
      </c>
      <c r="NY27" s="145">
        <f t="shared" si="33"/>
        <v>9.2436974789915971E-2</v>
      </c>
      <c r="NZ27" s="145">
        <f t="shared" si="33"/>
        <v>0.41379310344827586</v>
      </c>
      <c r="OA27" s="145">
        <f t="shared" si="33"/>
        <v>-0.32679738562091504</v>
      </c>
      <c r="OB27" s="145">
        <f t="shared" si="33"/>
        <v>0.23499999999999999</v>
      </c>
      <c r="OC27" s="145">
        <f t="shared" si="33"/>
        <v>2.9126213592233011E-2</v>
      </c>
      <c r="OD27" s="145">
        <f t="shared" si="33"/>
        <v>-0.28749999999999998</v>
      </c>
      <c r="OE27" s="145">
        <f t="shared" si="33"/>
        <v>0</v>
      </c>
      <c r="OF27" s="145">
        <f t="shared" si="33"/>
        <v>-0.16788321167883211</v>
      </c>
      <c r="OG27" s="145">
        <f t="shared" si="33"/>
        <v>-0.19130434782608696</v>
      </c>
      <c r="OH27" s="145">
        <f t="shared" si="33"/>
        <v>8.7301587301587297E-2</v>
      </c>
      <c r="OI27" s="145">
        <f t="shared" si="33"/>
        <v>4.5454545454545456E-2</v>
      </c>
      <c r="OJ27" s="145">
        <f t="shared" si="33"/>
        <v>-8.1967213114754092E-2</v>
      </c>
      <c r="OK27" s="145">
        <f t="shared" si="33"/>
        <v>0.11594202898550725</v>
      </c>
      <c r="OL27" s="145">
        <f t="shared" si="33"/>
        <v>7.3825503355704702E-2</v>
      </c>
    </row>
    <row r="28" spans="1:402" s="145" customFormat="1" ht="19.5" customHeight="1" x14ac:dyDescent="0.35">
      <c r="A28" s="12" t="s">
        <v>34</v>
      </c>
      <c r="B28" s="156">
        <f>'[1]Sept 07'!C11</f>
        <v>133</v>
      </c>
      <c r="C28" s="156">
        <f>'[1]Oct 07'!C11</f>
        <v>144</v>
      </c>
      <c r="D28" s="156">
        <f>'[1]Nov 07'!C11</f>
        <v>113</v>
      </c>
      <c r="E28" s="156">
        <f>'[1]Dec 07'!C11</f>
        <v>235</v>
      </c>
      <c r="F28" s="156">
        <f>'[1]Jan 08'!C11</f>
        <v>112</v>
      </c>
      <c r="G28" s="143">
        <f>'[1]Feb 08'!C11</f>
        <v>105</v>
      </c>
      <c r="H28" s="143">
        <f>'[1]Mar 08'!C11</f>
        <v>136</v>
      </c>
      <c r="I28" s="143">
        <v>121</v>
      </c>
      <c r="J28" s="143">
        <f>'[1]May 08'!C11</f>
        <v>162</v>
      </c>
      <c r="K28" s="143">
        <f>'[1]Jun 08'!C11</f>
        <v>149</v>
      </c>
      <c r="L28" s="143">
        <f>'[1]Jul 08'!C11</f>
        <v>125</v>
      </c>
      <c r="M28" s="143">
        <v>117</v>
      </c>
      <c r="N28" s="143">
        <v>160</v>
      </c>
      <c r="O28" s="143">
        <v>144</v>
      </c>
      <c r="P28" s="143">
        <v>103</v>
      </c>
      <c r="Q28" s="143">
        <v>244</v>
      </c>
      <c r="R28" s="143">
        <v>125</v>
      </c>
      <c r="S28" s="143">
        <v>93</v>
      </c>
      <c r="T28" s="143">
        <v>119</v>
      </c>
      <c r="U28" s="143">
        <v>105</v>
      </c>
      <c r="V28" s="143">
        <v>116</v>
      </c>
      <c r="W28" s="143">
        <v>128</v>
      </c>
      <c r="X28" s="143">
        <v>89</v>
      </c>
      <c r="Y28" s="143">
        <v>87</v>
      </c>
      <c r="Z28" s="143">
        <v>78</v>
      </c>
      <c r="AA28" s="143">
        <v>88</v>
      </c>
      <c r="AB28" s="143">
        <v>71</v>
      </c>
      <c r="AC28" s="143">
        <v>149</v>
      </c>
      <c r="AD28" s="143">
        <v>66</v>
      </c>
      <c r="AE28" s="143">
        <v>55</v>
      </c>
      <c r="AF28" s="143">
        <v>69</v>
      </c>
      <c r="AG28" s="143">
        <v>75</v>
      </c>
      <c r="AH28" s="143">
        <v>100</v>
      </c>
      <c r="AI28" s="143">
        <v>96</v>
      </c>
      <c r="AJ28" s="143">
        <v>66</v>
      </c>
      <c r="AK28" s="143">
        <v>72</v>
      </c>
      <c r="AL28" s="143">
        <v>65</v>
      </c>
      <c r="AM28" s="143">
        <v>64</v>
      </c>
      <c r="AN28" s="143">
        <v>55</v>
      </c>
      <c r="AO28" s="143">
        <v>52</v>
      </c>
      <c r="AP28" s="143">
        <v>72</v>
      </c>
      <c r="AQ28" s="143">
        <v>46</v>
      </c>
      <c r="AR28" s="143">
        <v>55</v>
      </c>
      <c r="AS28" s="143">
        <v>56</v>
      </c>
      <c r="AT28" s="143">
        <v>65</v>
      </c>
      <c r="AU28" s="143">
        <v>65</v>
      </c>
      <c r="AV28" s="143">
        <v>37</v>
      </c>
      <c r="AW28" s="143">
        <v>25</v>
      </c>
      <c r="AX28" s="143">
        <v>38</v>
      </c>
      <c r="AY28" s="143">
        <v>30</v>
      </c>
      <c r="AZ28" s="143">
        <v>26</v>
      </c>
      <c r="BA28" s="143">
        <v>68</v>
      </c>
      <c r="BB28" s="143">
        <v>36</v>
      </c>
      <c r="BC28" s="143">
        <v>20</v>
      </c>
      <c r="BD28" s="143">
        <v>17</v>
      </c>
      <c r="BE28" s="143">
        <v>21</v>
      </c>
      <c r="BF28" s="143">
        <v>35</v>
      </c>
      <c r="BG28" s="143">
        <v>28</v>
      </c>
      <c r="BH28" s="143">
        <v>24</v>
      </c>
      <c r="BI28" s="143">
        <v>24</v>
      </c>
      <c r="BJ28" s="143">
        <v>31</v>
      </c>
      <c r="BK28" s="143">
        <v>24</v>
      </c>
      <c r="BL28" s="143">
        <v>18</v>
      </c>
      <c r="BM28" s="143">
        <v>62</v>
      </c>
      <c r="BN28" s="143">
        <v>26</v>
      </c>
      <c r="BO28" s="143">
        <v>21</v>
      </c>
      <c r="BP28" s="143">
        <v>17</v>
      </c>
      <c r="BQ28" s="143">
        <v>26</v>
      </c>
      <c r="BR28" s="143">
        <v>27</v>
      </c>
      <c r="BS28" s="143">
        <v>24</v>
      </c>
      <c r="BT28" s="143">
        <v>21</v>
      </c>
      <c r="BU28" s="143">
        <v>28</v>
      </c>
      <c r="BV28" s="143">
        <v>29</v>
      </c>
      <c r="BW28" s="143">
        <v>23</v>
      </c>
      <c r="BX28" s="143">
        <v>33</v>
      </c>
      <c r="BY28" s="143">
        <v>69</v>
      </c>
      <c r="BZ28" s="143">
        <v>36</v>
      </c>
      <c r="CA28" s="143">
        <v>34</v>
      </c>
      <c r="CB28" s="143">
        <v>48</v>
      </c>
      <c r="CC28" s="143">
        <v>48</v>
      </c>
      <c r="CD28" s="143">
        <v>73</v>
      </c>
      <c r="CE28" s="143">
        <v>63</v>
      </c>
      <c r="CF28" s="143">
        <v>45</v>
      </c>
      <c r="CG28" s="143">
        <v>41</v>
      </c>
      <c r="CH28" s="143">
        <v>63</v>
      </c>
      <c r="CI28" s="143">
        <v>52</v>
      </c>
      <c r="CJ28" s="143">
        <v>40</v>
      </c>
      <c r="CK28" s="143">
        <v>87</v>
      </c>
      <c r="CL28" s="143">
        <v>37</v>
      </c>
      <c r="CM28" s="143">
        <v>36</v>
      </c>
      <c r="CN28" s="143">
        <v>38</v>
      </c>
      <c r="CO28" s="143">
        <v>48</v>
      </c>
      <c r="CP28" s="143">
        <v>48</v>
      </c>
      <c r="CQ28" s="143">
        <v>66</v>
      </c>
      <c r="CR28" s="143">
        <v>42</v>
      </c>
      <c r="CS28" s="143">
        <v>40</v>
      </c>
      <c r="CT28" s="143">
        <v>40</v>
      </c>
      <c r="CU28" s="143">
        <v>33</v>
      </c>
      <c r="CV28" s="143">
        <v>36</v>
      </c>
      <c r="CW28" s="143">
        <v>77</v>
      </c>
      <c r="CX28" s="143">
        <v>23</v>
      </c>
      <c r="CY28" s="143">
        <v>31</v>
      </c>
      <c r="CZ28" s="143">
        <v>38</v>
      </c>
      <c r="DA28" s="143">
        <v>52</v>
      </c>
      <c r="DB28" s="143">
        <v>43</v>
      </c>
      <c r="DC28" s="143">
        <v>74</v>
      </c>
      <c r="DD28" s="143">
        <v>56</v>
      </c>
      <c r="DE28" s="143">
        <v>37</v>
      </c>
      <c r="DF28" s="143">
        <v>37</v>
      </c>
      <c r="DG28" s="143">
        <v>39</v>
      </c>
      <c r="DH28" s="143">
        <v>27</v>
      </c>
      <c r="DI28" s="143">
        <v>73</v>
      </c>
      <c r="DJ28" s="143">
        <v>36</v>
      </c>
      <c r="DK28" s="143">
        <v>21</v>
      </c>
      <c r="DL28" s="143">
        <v>32</v>
      </c>
      <c r="DM28" s="143">
        <v>45</v>
      </c>
      <c r="DN28" s="143">
        <v>50</v>
      </c>
      <c r="DO28" s="143">
        <v>51</v>
      </c>
      <c r="DP28" s="143">
        <v>41</v>
      </c>
      <c r="DQ28" s="143">
        <v>33</v>
      </c>
      <c r="DR28" s="143">
        <v>36</v>
      </c>
      <c r="DS28" s="143">
        <v>30</v>
      </c>
      <c r="DT28" s="143">
        <v>27</v>
      </c>
      <c r="DU28" s="143">
        <v>52</v>
      </c>
      <c r="DV28" s="143">
        <v>28</v>
      </c>
      <c r="DW28" s="143">
        <v>31</v>
      </c>
      <c r="DX28" s="143">
        <v>25</v>
      </c>
      <c r="DY28" s="143">
        <v>26</v>
      </c>
      <c r="DZ28" s="143">
        <v>33</v>
      </c>
      <c r="EA28" s="143">
        <v>49</v>
      </c>
      <c r="EB28" s="143">
        <v>33</v>
      </c>
      <c r="EC28" s="143">
        <v>21</v>
      </c>
      <c r="ED28" s="143">
        <v>26</v>
      </c>
      <c r="EE28" s="143">
        <v>24</v>
      </c>
      <c r="EF28" s="143">
        <v>18</v>
      </c>
      <c r="EG28" s="143">
        <v>59</v>
      </c>
      <c r="EH28" s="143">
        <v>27</v>
      </c>
      <c r="EI28" s="143">
        <v>12</v>
      </c>
      <c r="EJ28" s="143">
        <v>25</v>
      </c>
      <c r="EK28" s="143">
        <v>31</v>
      </c>
      <c r="EL28" s="143">
        <v>15</v>
      </c>
      <c r="EM28" s="143">
        <v>33</v>
      </c>
      <c r="EN28" s="143">
        <v>39</v>
      </c>
      <c r="EO28" s="143">
        <v>30</v>
      </c>
      <c r="EP28" s="143">
        <v>17</v>
      </c>
      <c r="EQ28" s="143">
        <v>15</v>
      </c>
      <c r="ER28" s="143">
        <v>13</v>
      </c>
      <c r="ES28" s="143">
        <v>33</v>
      </c>
      <c r="ET28" s="143">
        <v>14</v>
      </c>
      <c r="EU28" s="143">
        <v>8</v>
      </c>
      <c r="EV28" s="143">
        <v>14</v>
      </c>
      <c r="EW28" s="143">
        <v>16</v>
      </c>
      <c r="EX28" s="143">
        <v>22</v>
      </c>
      <c r="EY28" s="143">
        <v>8</v>
      </c>
      <c r="EZ28" s="143">
        <v>15</v>
      </c>
      <c r="FA28" s="143">
        <v>8</v>
      </c>
      <c r="FB28" s="143">
        <v>11</v>
      </c>
      <c r="FC28" s="143">
        <v>9</v>
      </c>
      <c r="FD28" s="143">
        <v>9</v>
      </c>
      <c r="FE28" s="143">
        <v>15</v>
      </c>
      <c r="FF28" s="143">
        <v>11</v>
      </c>
      <c r="FG28" s="143">
        <v>2</v>
      </c>
      <c r="FH28" s="143">
        <v>4</v>
      </c>
      <c r="FI28" s="143">
        <v>3</v>
      </c>
      <c r="FJ28" s="143">
        <v>7</v>
      </c>
      <c r="FK28" s="143">
        <v>6</v>
      </c>
      <c r="FL28" s="143">
        <v>3</v>
      </c>
      <c r="FM28" s="143">
        <v>10</v>
      </c>
      <c r="FN28" s="143">
        <v>5</v>
      </c>
      <c r="FO28" s="143">
        <v>5</v>
      </c>
      <c r="FP28" s="143">
        <v>4</v>
      </c>
      <c r="FQ28" s="143">
        <v>10</v>
      </c>
      <c r="FR28" s="143">
        <v>5</v>
      </c>
      <c r="FS28" s="143">
        <v>3</v>
      </c>
      <c r="FT28" s="143">
        <v>4</v>
      </c>
      <c r="FU28" s="143">
        <v>6</v>
      </c>
      <c r="FV28" s="143">
        <v>5</v>
      </c>
      <c r="FW28" s="143">
        <v>6</v>
      </c>
      <c r="FX28" s="143">
        <v>6</v>
      </c>
      <c r="FY28" s="143">
        <v>19</v>
      </c>
      <c r="FZ28" s="143">
        <v>19</v>
      </c>
      <c r="GA28" s="143">
        <v>17</v>
      </c>
      <c r="GB28" s="143">
        <v>21</v>
      </c>
      <c r="GC28" s="143">
        <v>39</v>
      </c>
      <c r="GD28" s="143">
        <v>15</v>
      </c>
      <c r="GE28" s="143">
        <v>8</v>
      </c>
      <c r="GF28" s="143">
        <v>11</v>
      </c>
      <c r="GG28" s="143">
        <v>13</v>
      </c>
      <c r="GH28" s="143">
        <v>7</v>
      </c>
      <c r="GI28" s="143">
        <v>10</v>
      </c>
      <c r="GJ28" s="143">
        <v>10</v>
      </c>
      <c r="GK28" s="143">
        <v>9</v>
      </c>
      <c r="GL28" s="143">
        <v>10</v>
      </c>
      <c r="GM28" s="143">
        <v>6</v>
      </c>
      <c r="GN28" s="143">
        <v>7</v>
      </c>
      <c r="GO28" s="143">
        <v>33</v>
      </c>
      <c r="GP28" s="143">
        <v>4</v>
      </c>
      <c r="GQ28" s="143">
        <v>7</v>
      </c>
      <c r="GR28" s="143">
        <v>11</v>
      </c>
      <c r="GS28" s="143">
        <f>SUM(B28:GR28)/198</f>
        <v>45.459595959595958</v>
      </c>
      <c r="GT28" s="152"/>
      <c r="GU28" s="12" t="s">
        <v>34</v>
      </c>
      <c r="GV28" s="145" t="s">
        <v>30</v>
      </c>
      <c r="GW28" s="145">
        <f t="shared" si="38"/>
        <v>8.2706766917293228E-2</v>
      </c>
      <c r="GX28" s="145">
        <f t="shared" si="38"/>
        <v>-0.21527777777777779</v>
      </c>
      <c r="GY28" s="145">
        <f t="shared" si="38"/>
        <v>1.0796460176991149</v>
      </c>
      <c r="GZ28" s="145">
        <f t="shared" si="38"/>
        <v>-0.52340425531914891</v>
      </c>
      <c r="HA28" s="145">
        <f t="shared" si="38"/>
        <v>-6.25E-2</v>
      </c>
      <c r="HB28" s="145">
        <f t="shared" si="38"/>
        <v>0.29523809523809524</v>
      </c>
      <c r="HC28" s="145">
        <f t="shared" si="38"/>
        <v>-0.11029411764705882</v>
      </c>
      <c r="HD28" s="145">
        <f t="shared" si="38"/>
        <v>0.33884297520661155</v>
      </c>
      <c r="HE28" s="145">
        <f t="shared" si="38"/>
        <v>-8.0246913580246909E-2</v>
      </c>
      <c r="HF28" s="145">
        <f t="shared" si="38"/>
        <v>-0.16107382550335569</v>
      </c>
      <c r="HG28" s="145">
        <f t="shared" si="39"/>
        <v>-6.4000000000000001E-2</v>
      </c>
      <c r="HH28" s="145">
        <f t="shared" si="39"/>
        <v>0.36752136752136755</v>
      </c>
      <c r="HI28" s="145">
        <f t="shared" si="39"/>
        <v>-0.1</v>
      </c>
      <c r="HJ28" s="145">
        <f t="shared" si="39"/>
        <v>-0.28472222222222221</v>
      </c>
      <c r="HK28" s="145">
        <f t="shared" si="39"/>
        <v>1.3689320388349515</v>
      </c>
      <c r="HL28" s="145">
        <f t="shared" si="39"/>
        <v>-0.48770491803278687</v>
      </c>
      <c r="HM28" s="145">
        <f t="shared" si="39"/>
        <v>-0.25600000000000001</v>
      </c>
      <c r="HN28" s="145">
        <f t="shared" si="39"/>
        <v>0.27956989247311825</v>
      </c>
      <c r="HO28" s="145">
        <f t="shared" si="39"/>
        <v>-0.11764705882352941</v>
      </c>
      <c r="HP28" s="145">
        <f t="shared" si="39"/>
        <v>0.10476190476190476</v>
      </c>
      <c r="HQ28" s="145">
        <f t="shared" si="40"/>
        <v>0.10344827586206896</v>
      </c>
      <c r="HR28" s="145">
        <f t="shared" si="40"/>
        <v>-0.3046875</v>
      </c>
      <c r="HS28" s="145">
        <f t="shared" si="40"/>
        <v>-2.247191011235955E-2</v>
      </c>
      <c r="HT28" s="145">
        <f t="shared" si="40"/>
        <v>-0.10344827586206896</v>
      </c>
      <c r="HU28" s="145">
        <f t="shared" si="40"/>
        <v>0.12820512820512819</v>
      </c>
      <c r="HV28" s="145">
        <f t="shared" si="40"/>
        <v>-0.19318181818181818</v>
      </c>
      <c r="HW28" s="145">
        <f t="shared" si="40"/>
        <v>1.0985915492957747</v>
      </c>
      <c r="HX28" s="145">
        <f t="shared" si="40"/>
        <v>-0.55704697986577179</v>
      </c>
      <c r="HY28" s="145">
        <f t="shared" si="40"/>
        <v>-0.16666666666666666</v>
      </c>
      <c r="HZ28" s="145">
        <f t="shared" si="40"/>
        <v>0.25454545454545452</v>
      </c>
      <c r="IA28" s="145">
        <f t="shared" si="41"/>
        <v>8.6956521739130432E-2</v>
      </c>
      <c r="IB28" s="145">
        <f t="shared" si="41"/>
        <v>0.33333333333333331</v>
      </c>
      <c r="IC28" s="145">
        <f t="shared" si="41"/>
        <v>-0.04</v>
      </c>
      <c r="ID28" s="145">
        <f t="shared" si="41"/>
        <v>-0.3125</v>
      </c>
      <c r="IE28" s="145">
        <f t="shared" si="41"/>
        <v>9.0909090909090912E-2</v>
      </c>
      <c r="IF28" s="145">
        <f t="shared" si="41"/>
        <v>-9.7222222222222224E-2</v>
      </c>
      <c r="IG28" s="145">
        <f t="shared" si="41"/>
        <v>-1.5384615384615385E-2</v>
      </c>
      <c r="IH28" s="145">
        <f t="shared" si="41"/>
        <v>-0.140625</v>
      </c>
      <c r="II28" s="145">
        <f t="shared" si="41"/>
        <v>-5.4545454545454543E-2</v>
      </c>
      <c r="IJ28" s="145">
        <f t="shared" si="41"/>
        <v>0.38461538461538464</v>
      </c>
      <c r="IK28" s="145">
        <f t="shared" si="42"/>
        <v>-0.3611111111111111</v>
      </c>
      <c r="IL28" s="145">
        <f t="shared" si="42"/>
        <v>0.19565217391304349</v>
      </c>
      <c r="IM28" s="145">
        <f t="shared" si="42"/>
        <v>1.8181818181818181E-2</v>
      </c>
      <c r="IN28" s="145">
        <f t="shared" si="42"/>
        <v>0.16071428571428573</v>
      </c>
      <c r="IO28" s="145">
        <f t="shared" si="42"/>
        <v>0</v>
      </c>
      <c r="IP28" s="145">
        <f t="shared" si="42"/>
        <v>-0.43076923076923079</v>
      </c>
      <c r="IQ28" s="145">
        <f t="shared" si="42"/>
        <v>-0.32432432432432434</v>
      </c>
      <c r="IR28" s="145">
        <f t="shared" si="42"/>
        <v>0.52</v>
      </c>
      <c r="IS28" s="145">
        <f t="shared" si="42"/>
        <v>-0.21052631578947367</v>
      </c>
      <c r="IT28" s="145">
        <f t="shared" si="42"/>
        <v>-0.13333333333333333</v>
      </c>
      <c r="IU28" s="145">
        <f t="shared" si="43"/>
        <v>1.6153846153846154</v>
      </c>
      <c r="IV28" s="145">
        <f t="shared" si="43"/>
        <v>-0.47058823529411764</v>
      </c>
      <c r="IW28" s="145">
        <f t="shared" si="43"/>
        <v>-0.44444444444444442</v>
      </c>
      <c r="IX28" s="145">
        <f t="shared" si="43"/>
        <v>-0.15</v>
      </c>
      <c r="IY28" s="145">
        <f t="shared" si="43"/>
        <v>0.23529411764705882</v>
      </c>
      <c r="IZ28" s="145">
        <f t="shared" si="43"/>
        <v>0.66666666666666663</v>
      </c>
      <c r="JA28" s="145">
        <f t="shared" si="43"/>
        <v>-0.2</v>
      </c>
      <c r="JB28" s="145">
        <f t="shared" si="43"/>
        <v>-0.14285714285714285</v>
      </c>
      <c r="JC28" s="145">
        <f t="shared" si="43"/>
        <v>0</v>
      </c>
      <c r="JD28" s="145">
        <f t="shared" si="43"/>
        <v>0.29166666666666669</v>
      </c>
      <c r="JE28" s="145">
        <f t="shared" si="44"/>
        <v>-0.22580645161290322</v>
      </c>
      <c r="JF28" s="145">
        <f t="shared" si="44"/>
        <v>-0.25</v>
      </c>
      <c r="JG28" s="145">
        <f t="shared" si="44"/>
        <v>2.4444444444444446</v>
      </c>
      <c r="JH28" s="145">
        <f t="shared" si="44"/>
        <v>-0.58064516129032262</v>
      </c>
      <c r="JI28" s="145">
        <f t="shared" si="44"/>
        <v>-0.19230769230769232</v>
      </c>
      <c r="JJ28" s="145">
        <f t="shared" si="44"/>
        <v>-0.19047619047619047</v>
      </c>
      <c r="JK28" s="145">
        <f t="shared" si="44"/>
        <v>0.52941176470588236</v>
      </c>
      <c r="JL28" s="145">
        <f t="shared" si="44"/>
        <v>3.8461538461538464E-2</v>
      </c>
      <c r="JM28" s="145">
        <f t="shared" si="44"/>
        <v>-0.1111111111111111</v>
      </c>
      <c r="JN28" s="145">
        <f t="shared" si="44"/>
        <v>-0.125</v>
      </c>
      <c r="JO28" s="145">
        <f t="shared" si="45"/>
        <v>0.33333333333333331</v>
      </c>
      <c r="JP28" s="145">
        <f t="shared" si="45"/>
        <v>3.5714285714285712E-2</v>
      </c>
      <c r="JQ28" s="145">
        <f t="shared" si="45"/>
        <v>-0.20689655172413793</v>
      </c>
      <c r="JR28" s="145">
        <f t="shared" si="45"/>
        <v>0.43478260869565216</v>
      </c>
      <c r="JS28" s="145">
        <f t="shared" si="45"/>
        <v>1.0909090909090908</v>
      </c>
      <c r="JT28" s="145">
        <f t="shared" si="45"/>
        <v>-0.47826086956521741</v>
      </c>
      <c r="JU28" s="145">
        <f t="shared" si="45"/>
        <v>-5.5555555555555552E-2</v>
      </c>
      <c r="JV28" s="145">
        <f t="shared" si="45"/>
        <v>0.41176470588235292</v>
      </c>
      <c r="JW28" s="145">
        <f t="shared" si="45"/>
        <v>0</v>
      </c>
      <c r="JX28" s="145">
        <f t="shared" si="45"/>
        <v>0.52083333333333337</v>
      </c>
      <c r="JY28" s="145">
        <f t="shared" si="46"/>
        <v>-0.13698630136986301</v>
      </c>
      <c r="JZ28" s="145">
        <f t="shared" si="46"/>
        <v>-0.2857142857142857</v>
      </c>
      <c r="KA28" s="145">
        <f t="shared" si="46"/>
        <v>-8.8888888888888892E-2</v>
      </c>
      <c r="KB28" s="145">
        <f t="shared" si="46"/>
        <v>0.53658536585365857</v>
      </c>
      <c r="KC28" s="145">
        <f t="shared" si="46"/>
        <v>-0.17460317460317459</v>
      </c>
      <c r="KD28" s="145">
        <f t="shared" si="46"/>
        <v>-0.23076923076923078</v>
      </c>
      <c r="KE28" s="145">
        <f t="shared" si="46"/>
        <v>1.175</v>
      </c>
      <c r="KF28" s="145">
        <f t="shared" si="46"/>
        <v>-0.57471264367816088</v>
      </c>
      <c r="KG28" s="145">
        <f t="shared" si="46"/>
        <v>-2.7027027027027029E-2</v>
      </c>
      <c r="KH28" s="145">
        <f t="shared" si="46"/>
        <v>5.5555555555555552E-2</v>
      </c>
      <c r="KI28" s="145">
        <f t="shared" si="47"/>
        <v>0.26315789473684209</v>
      </c>
      <c r="KJ28" s="145">
        <f t="shared" si="47"/>
        <v>0</v>
      </c>
      <c r="KK28" s="145">
        <f t="shared" si="47"/>
        <v>0.375</v>
      </c>
      <c r="KL28" s="145">
        <f t="shared" si="47"/>
        <v>-0.36363636363636365</v>
      </c>
      <c r="KM28" s="145">
        <f t="shared" si="47"/>
        <v>-4.7619047619047616E-2</v>
      </c>
      <c r="KN28" s="145">
        <f t="shared" si="47"/>
        <v>0</v>
      </c>
      <c r="KO28" s="145">
        <f t="shared" si="47"/>
        <v>-0.17499999999999999</v>
      </c>
      <c r="KP28" s="145">
        <f t="shared" si="47"/>
        <v>9.0909090909090912E-2</v>
      </c>
      <c r="KQ28" s="145">
        <f t="shared" si="47"/>
        <v>1.1388888888888888</v>
      </c>
      <c r="KR28" s="145">
        <f t="shared" si="47"/>
        <v>-0.70129870129870131</v>
      </c>
      <c r="KS28" s="145">
        <f t="shared" si="48"/>
        <v>0.34782608695652173</v>
      </c>
      <c r="KT28" s="145">
        <f t="shared" si="48"/>
        <v>0.22580645161290322</v>
      </c>
      <c r="KU28" s="145">
        <f t="shared" si="48"/>
        <v>0.36842105263157893</v>
      </c>
      <c r="KV28" s="145">
        <f t="shared" si="48"/>
        <v>-0.17307692307692307</v>
      </c>
      <c r="KW28" s="145">
        <f t="shared" si="48"/>
        <v>0.72093023255813948</v>
      </c>
      <c r="KX28" s="145">
        <f t="shared" si="48"/>
        <v>-0.24324324324324326</v>
      </c>
      <c r="KY28" s="145">
        <f t="shared" si="48"/>
        <v>-0.3392857142857143</v>
      </c>
      <c r="KZ28" s="145">
        <f t="shared" si="48"/>
        <v>0</v>
      </c>
      <c r="LA28" s="145">
        <f t="shared" si="48"/>
        <v>5.4054054054054057E-2</v>
      </c>
      <c r="LB28" s="145">
        <f t="shared" si="48"/>
        <v>-0.30769230769230771</v>
      </c>
      <c r="LC28" s="145">
        <f t="shared" si="49"/>
        <v>1.7037037037037037</v>
      </c>
      <c r="LD28" s="145">
        <f t="shared" si="49"/>
        <v>-0.50684931506849318</v>
      </c>
      <c r="LE28" s="145">
        <f t="shared" si="34"/>
        <v>-0.41666666666666669</v>
      </c>
      <c r="LF28" s="145">
        <f t="shared" si="34"/>
        <v>0.52380952380952384</v>
      </c>
      <c r="LG28" s="145">
        <f t="shared" si="34"/>
        <v>0.40625</v>
      </c>
      <c r="LH28" s="145">
        <f t="shared" si="34"/>
        <v>0.1111111111111111</v>
      </c>
      <c r="LI28" s="145">
        <f t="shared" si="34"/>
        <v>0.02</v>
      </c>
      <c r="LJ28" s="145">
        <f t="shared" si="34"/>
        <v>-0.19607843137254902</v>
      </c>
      <c r="LK28" s="145">
        <f t="shared" si="34"/>
        <v>-0.1951219512195122</v>
      </c>
      <c r="LL28" s="145">
        <f t="shared" si="34"/>
        <v>9.0909090909090912E-2</v>
      </c>
      <c r="LM28" s="145">
        <f t="shared" si="34"/>
        <v>-0.16666666666666666</v>
      </c>
      <c r="LN28" s="145">
        <f t="shared" si="34"/>
        <v>-0.1</v>
      </c>
      <c r="LO28" s="145">
        <f t="shared" si="35"/>
        <v>0.92592592592592593</v>
      </c>
      <c r="LP28" s="145">
        <f t="shared" si="35"/>
        <v>-0.46153846153846156</v>
      </c>
      <c r="LQ28" s="145">
        <f t="shared" si="35"/>
        <v>0.10714285714285714</v>
      </c>
      <c r="LR28" s="145">
        <f t="shared" si="35"/>
        <v>-0.19354838709677419</v>
      </c>
      <c r="LS28" s="145">
        <f t="shared" si="35"/>
        <v>0.04</v>
      </c>
      <c r="LT28" s="145">
        <f t="shared" si="35"/>
        <v>0.26923076923076922</v>
      </c>
      <c r="LU28" s="145">
        <f t="shared" si="35"/>
        <v>0.48484848484848486</v>
      </c>
      <c r="LV28" s="145">
        <f t="shared" si="35"/>
        <v>-0.32653061224489793</v>
      </c>
      <c r="LW28" s="145">
        <f t="shared" si="35"/>
        <v>-0.36363636363636365</v>
      </c>
      <c r="LX28" s="145">
        <f t="shared" si="35"/>
        <v>0.23809523809523808</v>
      </c>
      <c r="LY28" s="145">
        <f t="shared" si="36"/>
        <v>-7.6923076923076927E-2</v>
      </c>
      <c r="LZ28" s="145">
        <f t="shared" si="36"/>
        <v>-0.25</v>
      </c>
      <c r="MA28" s="145">
        <f t="shared" si="36"/>
        <v>2.2777777777777777</v>
      </c>
      <c r="MB28" s="145">
        <f t="shared" si="36"/>
        <v>-0.5423728813559322</v>
      </c>
      <c r="MC28" s="145">
        <f t="shared" si="36"/>
        <v>-0.55555555555555558</v>
      </c>
      <c r="MD28" s="145">
        <f t="shared" si="36"/>
        <v>1.0833333333333333</v>
      </c>
      <c r="ME28" s="145">
        <f t="shared" si="36"/>
        <v>0.24</v>
      </c>
      <c r="MF28" s="145">
        <f t="shared" si="36"/>
        <v>-0.5161290322580645</v>
      </c>
      <c r="MG28" s="145">
        <f t="shared" si="36"/>
        <v>1.2</v>
      </c>
      <c r="MH28" s="145">
        <f t="shared" si="36"/>
        <v>0.18181818181818182</v>
      </c>
      <c r="MI28" s="145">
        <f t="shared" si="37"/>
        <v>-0.23076923076923078</v>
      </c>
      <c r="MJ28" s="145">
        <f t="shared" si="37"/>
        <v>-0.43333333333333335</v>
      </c>
      <c r="MK28" s="145">
        <f t="shared" si="37"/>
        <v>-0.11764705882352941</v>
      </c>
      <c r="ML28" s="145">
        <f t="shared" si="37"/>
        <v>-0.13333333333333333</v>
      </c>
      <c r="MM28" s="145">
        <f t="shared" si="37"/>
        <v>1.5384615384615385</v>
      </c>
      <c r="MN28" s="145">
        <f t="shared" si="37"/>
        <v>-0.5757575757575758</v>
      </c>
      <c r="MO28" s="145">
        <f t="shared" si="37"/>
        <v>-0.42857142857142855</v>
      </c>
      <c r="MP28" s="145">
        <f t="shared" si="37"/>
        <v>0.75</v>
      </c>
      <c r="MQ28" s="145">
        <f t="shared" si="37"/>
        <v>0.14285714285714285</v>
      </c>
      <c r="MR28" s="145">
        <f t="shared" si="37"/>
        <v>0.375</v>
      </c>
      <c r="MS28" s="145">
        <f>(EZ28-EY28)/EY28</f>
        <v>0.875</v>
      </c>
      <c r="MT28" s="145">
        <f t="shared" si="30"/>
        <v>0.46666666666666667</v>
      </c>
      <c r="MU28" s="145">
        <f t="shared" si="30"/>
        <v>-0.875</v>
      </c>
      <c r="MV28" s="145">
        <f t="shared" si="30"/>
        <v>0.27272727272727271</v>
      </c>
      <c r="MW28" s="145">
        <f t="shared" si="30"/>
        <v>-0.22222222222222221</v>
      </c>
      <c r="MX28" s="145">
        <f t="shared" si="30"/>
        <v>0</v>
      </c>
      <c r="MY28" s="145">
        <f t="shared" si="30"/>
        <v>0.4</v>
      </c>
      <c r="MZ28" s="145">
        <f t="shared" si="30"/>
        <v>-0.36363636363636365</v>
      </c>
      <c r="NA28" s="145">
        <f t="shared" si="30"/>
        <v>-4.5</v>
      </c>
      <c r="NB28" s="145">
        <f t="shared" si="30"/>
        <v>0.5</v>
      </c>
      <c r="NC28" s="145">
        <f t="shared" si="30"/>
        <v>-0.33333333333333331</v>
      </c>
      <c r="ND28" s="145">
        <f t="shared" si="31"/>
        <v>0.5714285714285714</v>
      </c>
      <c r="NE28" s="145">
        <f t="shared" si="31"/>
        <v>-0.16666666666666666</v>
      </c>
      <c r="NF28" s="145">
        <f t="shared" si="31"/>
        <v>-1</v>
      </c>
      <c r="NG28" s="145">
        <f t="shared" si="31"/>
        <v>0.7</v>
      </c>
      <c r="NH28" s="145">
        <f t="shared" si="31"/>
        <v>-1</v>
      </c>
      <c r="NI28" s="145">
        <f t="shared" si="31"/>
        <v>0</v>
      </c>
      <c r="NJ28" s="145">
        <f t="shared" si="31"/>
        <v>-0.25</v>
      </c>
      <c r="NK28" s="145">
        <f t="shared" si="31"/>
        <v>0.6</v>
      </c>
      <c r="NL28" s="145">
        <f t="shared" si="31"/>
        <v>-1</v>
      </c>
      <c r="NM28" s="145">
        <f t="shared" si="31"/>
        <v>-0.66666666666666663</v>
      </c>
      <c r="NN28" s="145">
        <f t="shared" si="32"/>
        <v>0.25</v>
      </c>
      <c r="NO28" s="145">
        <f t="shared" si="32"/>
        <v>0.33333333333333331</v>
      </c>
      <c r="NP28" s="145">
        <f t="shared" si="32"/>
        <v>-0.2</v>
      </c>
      <c r="NQ28" s="145">
        <f t="shared" si="32"/>
        <v>0.16666666666666666</v>
      </c>
      <c r="NR28" s="145">
        <f t="shared" si="32"/>
        <v>0</v>
      </c>
      <c r="NS28" s="145">
        <f t="shared" si="32"/>
        <v>0.68421052631578949</v>
      </c>
      <c r="NT28" s="145">
        <f t="shared" si="32"/>
        <v>0</v>
      </c>
      <c r="NU28" s="145">
        <f t="shared" si="32"/>
        <v>-0.11764705882352941</v>
      </c>
      <c r="NV28" s="145">
        <f t="shared" si="32"/>
        <v>0.19047619047619047</v>
      </c>
      <c r="NW28" s="145">
        <f t="shared" si="32"/>
        <v>0.46153846153846156</v>
      </c>
      <c r="NX28" s="145">
        <f t="shared" si="33"/>
        <v>-1.6</v>
      </c>
      <c r="NY28" s="145">
        <f t="shared" si="33"/>
        <v>-0.875</v>
      </c>
      <c r="NZ28" s="145">
        <f t="shared" si="33"/>
        <v>0.27272727272727271</v>
      </c>
      <c r="OA28" s="145">
        <f t="shared" si="33"/>
        <v>0.15384615384615385</v>
      </c>
      <c r="OB28" s="145">
        <f t="shared" si="33"/>
        <v>-0.8571428571428571</v>
      </c>
      <c r="OC28" s="145">
        <f t="shared" si="33"/>
        <v>0.3</v>
      </c>
      <c r="OD28" s="145">
        <f t="shared" si="33"/>
        <v>0</v>
      </c>
      <c r="OE28" s="145">
        <f t="shared" si="33"/>
        <v>-0.1111111111111111</v>
      </c>
      <c r="OF28" s="145">
        <f t="shared" si="33"/>
        <v>0.1</v>
      </c>
      <c r="OG28" s="145">
        <f t="shared" si="33"/>
        <v>-0.66666666666666663</v>
      </c>
      <c r="OH28" s="145">
        <f t="shared" si="33"/>
        <v>0.14285714285714285</v>
      </c>
      <c r="OI28" s="145">
        <f t="shared" si="33"/>
        <v>0.78787878787878785</v>
      </c>
      <c r="OJ28" s="145">
        <f t="shared" si="33"/>
        <v>-7.25</v>
      </c>
      <c r="OK28" s="145">
        <f t="shared" si="33"/>
        <v>0.42857142857142855</v>
      </c>
      <c r="OL28" s="145">
        <f t="shared" si="33"/>
        <v>0.36363636363636365</v>
      </c>
    </row>
    <row r="29" spans="1:402" x14ac:dyDescent="0.35">
      <c r="B29" s="23"/>
      <c r="C29" s="23"/>
      <c r="D29" s="23"/>
      <c r="E29" s="23"/>
      <c r="F29" s="23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V29" s="25"/>
      <c r="GW29" s="25"/>
      <c r="GX29" s="25"/>
      <c r="GY29" s="25"/>
    </row>
    <row r="31" spans="1:402" ht="16" thickBot="1" x14ac:dyDescent="0.4">
      <c r="A31" s="12" t="s">
        <v>39</v>
      </c>
      <c r="GU31" s="12" t="s">
        <v>36</v>
      </c>
    </row>
    <row r="32" spans="1:402" x14ac:dyDescent="0.35">
      <c r="B32" s="13">
        <v>2007</v>
      </c>
      <c r="C32" s="13"/>
      <c r="D32" s="13"/>
      <c r="E32" s="14"/>
      <c r="F32" s="15">
        <v>2008</v>
      </c>
      <c r="G32" s="16"/>
      <c r="H32" s="17"/>
      <c r="I32" s="16"/>
      <c r="J32" s="16"/>
      <c r="K32" s="16"/>
      <c r="L32" s="18"/>
      <c r="M32" s="18"/>
      <c r="N32" s="18"/>
      <c r="O32" s="18"/>
      <c r="P32" s="18"/>
      <c r="Q32" s="18"/>
      <c r="R32" s="19">
        <v>2009</v>
      </c>
      <c r="S32" s="19"/>
      <c r="T32" s="19"/>
      <c r="U32" s="19"/>
      <c r="V32" s="16"/>
      <c r="W32" s="16"/>
      <c r="X32" s="16"/>
      <c r="Y32" s="16"/>
      <c r="Z32" s="16"/>
      <c r="AA32" s="16"/>
      <c r="AB32" s="16"/>
      <c r="AC32" s="16"/>
      <c r="AD32" s="19">
        <v>2010</v>
      </c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>
        <v>2011</v>
      </c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9">
        <v>2012</v>
      </c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9">
        <v>2013</v>
      </c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>
        <v>2014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>
        <v>2015</v>
      </c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9">
        <v>2016</v>
      </c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9">
        <v>2017</v>
      </c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>
        <v>2018</v>
      </c>
      <c r="DW32" s="19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9">
        <v>2019</v>
      </c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9">
        <v>2020</v>
      </c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9">
        <v>2021</v>
      </c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>
        <v>2022</v>
      </c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>
        <v>2023</v>
      </c>
      <c r="GE32" s="19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9">
        <v>2024</v>
      </c>
      <c r="GQ32" s="19"/>
      <c r="GR32" s="183"/>
      <c r="GV32" s="13">
        <v>2007</v>
      </c>
      <c r="GW32" s="13"/>
      <c r="GX32" s="13"/>
      <c r="GY32" s="14"/>
      <c r="GZ32" s="15">
        <v>2008</v>
      </c>
      <c r="HA32" s="16"/>
      <c r="HB32" s="17"/>
      <c r="HC32" s="16"/>
      <c r="HD32" s="16"/>
      <c r="HE32" s="16"/>
      <c r="HF32" s="18"/>
      <c r="HG32" s="18"/>
      <c r="HH32" s="18"/>
      <c r="HI32" s="18"/>
      <c r="HJ32" s="18"/>
      <c r="HK32" s="18"/>
      <c r="HL32" s="19">
        <v>2009</v>
      </c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>
        <v>2010</v>
      </c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>
        <v>2011</v>
      </c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>
        <v>2012</v>
      </c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>
        <v>2013</v>
      </c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>
        <v>2014</v>
      </c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>
        <v>2015</v>
      </c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>
        <v>2016</v>
      </c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>
        <v>2017</v>
      </c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>
        <v>2018</v>
      </c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>
        <v>2019</v>
      </c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>
        <v>2020</v>
      </c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>
        <v>2021</v>
      </c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>
        <v>2022</v>
      </c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>
        <v>2023</v>
      </c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>
        <v>2024</v>
      </c>
      <c r="OK32" s="19"/>
      <c r="OL32" s="19"/>
    </row>
    <row r="33" spans="1:402" s="2" customFormat="1" x14ac:dyDescent="0.35">
      <c r="A33" s="26"/>
      <c r="B33" s="20" t="s">
        <v>3</v>
      </c>
      <c r="C33" s="21" t="s">
        <v>4</v>
      </c>
      <c r="D33" s="20" t="s">
        <v>5</v>
      </c>
      <c r="E33" s="20" t="s">
        <v>6</v>
      </c>
      <c r="F33" s="20" t="s">
        <v>7</v>
      </c>
      <c r="G33" s="20" t="s">
        <v>8</v>
      </c>
      <c r="H33" s="20" t="s">
        <v>9</v>
      </c>
      <c r="I33" s="20" t="s">
        <v>10</v>
      </c>
      <c r="J33" s="20" t="s">
        <v>11</v>
      </c>
      <c r="K33" s="20" t="s">
        <v>12</v>
      </c>
      <c r="L33" s="20" t="s">
        <v>13</v>
      </c>
      <c r="M33" s="20" t="s">
        <v>14</v>
      </c>
      <c r="N33" s="20" t="s">
        <v>3</v>
      </c>
      <c r="O33" s="20" t="s">
        <v>4</v>
      </c>
      <c r="P33" s="20" t="s">
        <v>5</v>
      </c>
      <c r="Q33" s="20" t="s">
        <v>15</v>
      </c>
      <c r="R33" s="22" t="s">
        <v>7</v>
      </c>
      <c r="S33" s="22" t="s">
        <v>8</v>
      </c>
      <c r="T33" s="22" t="s">
        <v>9</v>
      </c>
      <c r="U33" s="22" t="s">
        <v>10</v>
      </c>
      <c r="V33" s="22" t="s">
        <v>11</v>
      </c>
      <c r="W33" s="22" t="s">
        <v>12</v>
      </c>
      <c r="X33" s="22" t="s">
        <v>13</v>
      </c>
      <c r="Y33" s="22" t="s">
        <v>14</v>
      </c>
      <c r="Z33" s="22" t="s">
        <v>16</v>
      </c>
      <c r="AA33" s="22" t="s">
        <v>4</v>
      </c>
      <c r="AB33" s="22" t="s">
        <v>5</v>
      </c>
      <c r="AC33" s="22" t="s">
        <v>6</v>
      </c>
      <c r="AD33" s="22" t="s">
        <v>17</v>
      </c>
      <c r="AE33" s="22" t="s">
        <v>8</v>
      </c>
      <c r="AF33" s="22" t="s">
        <v>18</v>
      </c>
      <c r="AG33" s="22" t="s">
        <v>10</v>
      </c>
      <c r="AH33" s="22" t="s">
        <v>11</v>
      </c>
      <c r="AI33" s="22" t="s">
        <v>12</v>
      </c>
      <c r="AJ33" s="22" t="s">
        <v>13</v>
      </c>
      <c r="AK33" s="22" t="s">
        <v>14</v>
      </c>
      <c r="AL33" s="22" t="s">
        <v>16</v>
      </c>
      <c r="AM33" s="22" t="s">
        <v>19</v>
      </c>
      <c r="AN33" s="22" t="s">
        <v>5</v>
      </c>
      <c r="AO33" s="22" t="s">
        <v>6</v>
      </c>
      <c r="AP33" s="22" t="s">
        <v>7</v>
      </c>
      <c r="AQ33" s="22" t="s">
        <v>8</v>
      </c>
      <c r="AR33" s="22" t="s">
        <v>9</v>
      </c>
      <c r="AS33" s="22" t="s">
        <v>10</v>
      </c>
      <c r="AT33" s="22" t="s">
        <v>11</v>
      </c>
      <c r="AU33" s="22" t="s">
        <v>12</v>
      </c>
      <c r="AV33" s="22" t="s">
        <v>13</v>
      </c>
      <c r="AW33" s="22" t="s">
        <v>14</v>
      </c>
      <c r="AX33" s="22" t="s">
        <v>3</v>
      </c>
      <c r="AY33" s="22" t="s">
        <v>4</v>
      </c>
      <c r="AZ33" s="22" t="s">
        <v>5</v>
      </c>
      <c r="BA33" s="22" t="s">
        <v>15</v>
      </c>
      <c r="BB33" s="22" t="s">
        <v>7</v>
      </c>
      <c r="BC33" s="22" t="s">
        <v>8</v>
      </c>
      <c r="BD33" s="22" t="s">
        <v>18</v>
      </c>
      <c r="BE33" s="22" t="s">
        <v>10</v>
      </c>
      <c r="BF33" s="22" t="s">
        <v>11</v>
      </c>
      <c r="BG33" s="22" t="s">
        <v>12</v>
      </c>
      <c r="BH33" s="22" t="s">
        <v>20</v>
      </c>
      <c r="BI33" s="22" t="s">
        <v>21</v>
      </c>
      <c r="BJ33" s="22" t="s">
        <v>16</v>
      </c>
      <c r="BK33" s="22" t="s">
        <v>19</v>
      </c>
      <c r="BL33" s="22" t="s">
        <v>5</v>
      </c>
      <c r="BM33" s="22" t="s">
        <v>15</v>
      </c>
      <c r="BN33" s="22" t="s">
        <v>7</v>
      </c>
      <c r="BO33" s="22" t="s">
        <v>8</v>
      </c>
      <c r="BP33" s="22" t="s">
        <v>9</v>
      </c>
      <c r="BQ33" s="22" t="s">
        <v>10</v>
      </c>
      <c r="BR33" s="22" t="s">
        <v>11</v>
      </c>
      <c r="BS33" s="22" t="s">
        <v>12</v>
      </c>
      <c r="BT33" s="22" t="s">
        <v>20</v>
      </c>
      <c r="BU33" s="22" t="s">
        <v>21</v>
      </c>
      <c r="BV33" s="22" t="s">
        <v>22</v>
      </c>
      <c r="BW33" s="22" t="s">
        <v>4</v>
      </c>
      <c r="BX33" s="22" t="s">
        <v>5</v>
      </c>
      <c r="BY33" s="22" t="s">
        <v>6</v>
      </c>
      <c r="BZ33" s="22" t="s">
        <v>17</v>
      </c>
      <c r="CA33" s="22" t="s">
        <v>23</v>
      </c>
      <c r="CB33" s="22" t="s">
        <v>18</v>
      </c>
      <c r="CC33" s="22" t="s">
        <v>24</v>
      </c>
      <c r="CD33" s="22" t="s">
        <v>11</v>
      </c>
      <c r="CE33" s="22" t="s">
        <v>12</v>
      </c>
      <c r="CF33" s="22" t="s">
        <v>13</v>
      </c>
      <c r="CG33" s="22" t="s">
        <v>14</v>
      </c>
      <c r="CH33" s="22" t="s">
        <v>16</v>
      </c>
      <c r="CI33" s="22" t="s">
        <v>4</v>
      </c>
      <c r="CJ33" s="22" t="s">
        <v>5</v>
      </c>
      <c r="CK33" s="22" t="s">
        <v>6</v>
      </c>
      <c r="CL33" s="22" t="s">
        <v>7</v>
      </c>
      <c r="CM33" s="22" t="s">
        <v>8</v>
      </c>
      <c r="CN33" s="22" t="s">
        <v>18</v>
      </c>
      <c r="CO33" s="22" t="s">
        <v>10</v>
      </c>
      <c r="CP33" s="22" t="s">
        <v>11</v>
      </c>
      <c r="CQ33" s="22" t="s">
        <v>12</v>
      </c>
      <c r="CR33" s="22" t="s">
        <v>20</v>
      </c>
      <c r="CS33" s="22" t="s">
        <v>14</v>
      </c>
      <c r="CT33" s="22" t="s">
        <v>22</v>
      </c>
      <c r="CU33" s="22" t="s">
        <v>19</v>
      </c>
      <c r="CV33" s="22" t="s">
        <v>5</v>
      </c>
      <c r="CW33" s="22" t="s">
        <v>15</v>
      </c>
      <c r="CX33" s="22" t="s">
        <v>7</v>
      </c>
      <c r="CY33" s="22" t="s">
        <v>23</v>
      </c>
      <c r="CZ33" s="22" t="s">
        <v>18</v>
      </c>
      <c r="DA33" s="22" t="s">
        <v>24</v>
      </c>
      <c r="DB33" s="22" t="s">
        <v>11</v>
      </c>
      <c r="DC33" s="22" t="s">
        <v>12</v>
      </c>
      <c r="DD33" s="22" t="s">
        <v>13</v>
      </c>
      <c r="DE33" s="22" t="s">
        <v>14</v>
      </c>
      <c r="DF33" s="22" t="s">
        <v>16</v>
      </c>
      <c r="DG33" s="22" t="s">
        <v>4</v>
      </c>
      <c r="DH33" s="22" t="s">
        <v>5</v>
      </c>
      <c r="DI33" s="22" t="s">
        <v>15</v>
      </c>
      <c r="DJ33" s="22" t="s">
        <v>7</v>
      </c>
      <c r="DK33" s="22" t="s">
        <v>8</v>
      </c>
      <c r="DL33" s="22" t="s">
        <v>18</v>
      </c>
      <c r="DM33" s="22" t="s">
        <v>24</v>
      </c>
      <c r="DN33" s="22" t="s">
        <v>11</v>
      </c>
      <c r="DO33" s="22" t="s">
        <v>12</v>
      </c>
      <c r="DP33" s="22" t="s">
        <v>20</v>
      </c>
      <c r="DQ33" s="22" t="s">
        <v>14</v>
      </c>
      <c r="DR33" s="22" t="s">
        <v>22</v>
      </c>
      <c r="DS33" s="22" t="s">
        <v>19</v>
      </c>
      <c r="DT33" s="22" t="s">
        <v>5</v>
      </c>
      <c r="DU33" s="22" t="s">
        <v>15</v>
      </c>
      <c r="DV33" s="22" t="s">
        <v>7</v>
      </c>
      <c r="DW33" s="22" t="s">
        <v>8</v>
      </c>
      <c r="DX33" s="22" t="s">
        <v>18</v>
      </c>
      <c r="DY33" s="22" t="s">
        <v>24</v>
      </c>
      <c r="DZ33" s="22" t="s">
        <v>11</v>
      </c>
      <c r="EA33" s="22" t="s">
        <v>12</v>
      </c>
      <c r="EB33" s="22" t="s">
        <v>20</v>
      </c>
      <c r="EC33" s="22" t="s">
        <v>21</v>
      </c>
      <c r="ED33" s="22" t="s">
        <v>22</v>
      </c>
      <c r="EE33" s="22" t="s">
        <v>4</v>
      </c>
      <c r="EF33" s="22" t="s">
        <v>5</v>
      </c>
      <c r="EG33" s="22" t="s">
        <v>15</v>
      </c>
      <c r="EH33" s="22" t="s">
        <v>17</v>
      </c>
      <c r="EI33" s="22" t="s">
        <v>23</v>
      </c>
      <c r="EJ33" s="22" t="s">
        <v>18</v>
      </c>
      <c r="EK33" s="22" t="s">
        <v>24</v>
      </c>
      <c r="EL33" s="22" t="s">
        <v>11</v>
      </c>
      <c r="EM33" s="22" t="s">
        <v>12</v>
      </c>
      <c r="EN33" s="22" t="s">
        <v>20</v>
      </c>
      <c r="EO33" s="22" t="s">
        <v>21</v>
      </c>
      <c r="EP33" s="22" t="s">
        <v>22</v>
      </c>
      <c r="EQ33" s="22" t="s">
        <v>4</v>
      </c>
      <c r="ER33" s="22" t="s">
        <v>5</v>
      </c>
      <c r="ES33" s="22" t="s">
        <v>6</v>
      </c>
      <c r="ET33" s="22" t="s">
        <v>17</v>
      </c>
      <c r="EU33" s="22" t="s">
        <v>8</v>
      </c>
      <c r="EV33" s="22" t="s">
        <v>18</v>
      </c>
      <c r="EW33" s="22" t="s">
        <v>24</v>
      </c>
      <c r="EX33" s="22" t="s">
        <v>11</v>
      </c>
      <c r="EY33" s="22" t="s">
        <v>12</v>
      </c>
      <c r="EZ33" s="22" t="s">
        <v>20</v>
      </c>
      <c r="FA33" s="22" t="s">
        <v>14</v>
      </c>
      <c r="FB33" s="22" t="s">
        <v>22</v>
      </c>
      <c r="FC33" s="22" t="s">
        <v>4</v>
      </c>
      <c r="FD33" s="22" t="s">
        <v>5</v>
      </c>
      <c r="FE33" s="22" t="s">
        <v>6</v>
      </c>
      <c r="FF33" s="22" t="s">
        <v>7</v>
      </c>
      <c r="FG33" s="22" t="s">
        <v>8</v>
      </c>
      <c r="FH33" s="22" t="s">
        <v>9</v>
      </c>
      <c r="FI33" s="22" t="s">
        <v>24</v>
      </c>
      <c r="FJ33" s="22" t="s">
        <v>11</v>
      </c>
      <c r="FK33" s="22" t="s">
        <v>12</v>
      </c>
      <c r="FL33" s="22" t="s">
        <v>20</v>
      </c>
      <c r="FM33" s="22" t="s">
        <v>14</v>
      </c>
      <c r="FN33" s="22" t="s">
        <v>22</v>
      </c>
      <c r="FO33" s="22" t="s">
        <v>19</v>
      </c>
      <c r="FP33" s="22" t="s">
        <v>27</v>
      </c>
      <c r="FQ33" s="22" t="s">
        <v>15</v>
      </c>
      <c r="FR33" s="22" t="s">
        <v>7</v>
      </c>
      <c r="FS33" s="22" t="s">
        <v>8</v>
      </c>
      <c r="FT33" s="22" t="s">
        <v>9</v>
      </c>
      <c r="FU33" s="22" t="s">
        <v>10</v>
      </c>
      <c r="FV33" s="22" t="s">
        <v>11</v>
      </c>
      <c r="FW33" s="22" t="s">
        <v>12</v>
      </c>
      <c r="FX33" s="22" t="s">
        <v>20</v>
      </c>
      <c r="FY33" s="22" t="s">
        <v>14</v>
      </c>
      <c r="FZ33" s="22" t="s">
        <v>16</v>
      </c>
      <c r="GA33" s="22" t="s">
        <v>19</v>
      </c>
      <c r="GB33" s="22" t="s">
        <v>5</v>
      </c>
      <c r="GC33" s="22" t="s">
        <v>6</v>
      </c>
      <c r="GD33" s="22" t="s">
        <v>7</v>
      </c>
      <c r="GE33" s="22" t="s">
        <v>8</v>
      </c>
      <c r="GF33" s="22" t="s">
        <v>18</v>
      </c>
      <c r="GG33" s="22" t="s">
        <v>24</v>
      </c>
      <c r="GH33" s="22" t="s">
        <v>11</v>
      </c>
      <c r="GI33" s="22" t="s">
        <v>12</v>
      </c>
      <c r="GJ33" s="22" t="s">
        <v>13</v>
      </c>
      <c r="GK33" s="22" t="s">
        <v>14</v>
      </c>
      <c r="GL33" s="22" t="s">
        <v>22</v>
      </c>
      <c r="GM33" s="22" t="s">
        <v>4</v>
      </c>
      <c r="GN33" s="22" t="s">
        <v>5</v>
      </c>
      <c r="GO33" s="22" t="s">
        <v>6</v>
      </c>
      <c r="GP33" s="22" t="s">
        <v>7</v>
      </c>
      <c r="GQ33" s="22" t="s">
        <v>8</v>
      </c>
      <c r="GR33" s="22" t="s">
        <v>18</v>
      </c>
      <c r="GV33" s="20" t="s">
        <v>3</v>
      </c>
      <c r="GW33" s="21" t="s">
        <v>4</v>
      </c>
      <c r="GX33" s="20" t="s">
        <v>5</v>
      </c>
      <c r="GY33" s="20" t="s">
        <v>6</v>
      </c>
      <c r="GZ33" s="20" t="s">
        <v>7</v>
      </c>
      <c r="HA33" s="20" t="s">
        <v>8</v>
      </c>
      <c r="HB33" s="20" t="s">
        <v>9</v>
      </c>
      <c r="HC33" s="20" t="s">
        <v>10</v>
      </c>
      <c r="HD33" s="20" t="s">
        <v>11</v>
      </c>
      <c r="HE33" s="20" t="s">
        <v>12</v>
      </c>
      <c r="HF33" s="20" t="s">
        <v>13</v>
      </c>
      <c r="HG33" s="20" t="s">
        <v>14</v>
      </c>
      <c r="HH33" s="20" t="s">
        <v>3</v>
      </c>
      <c r="HI33" s="20" t="s">
        <v>4</v>
      </c>
      <c r="HJ33" s="20" t="s">
        <v>5</v>
      </c>
      <c r="HK33" s="20" t="s">
        <v>15</v>
      </c>
      <c r="HL33" s="22" t="s">
        <v>7</v>
      </c>
      <c r="HM33" s="22" t="s">
        <v>8</v>
      </c>
      <c r="HN33" s="22" t="s">
        <v>9</v>
      </c>
      <c r="HO33" s="22" t="s">
        <v>10</v>
      </c>
      <c r="HP33" s="22" t="s">
        <v>11</v>
      </c>
      <c r="HQ33" s="22" t="s">
        <v>12</v>
      </c>
      <c r="HR33" s="22" t="s">
        <v>13</v>
      </c>
      <c r="HS33" s="22" t="s">
        <v>14</v>
      </c>
      <c r="HT33" s="22" t="s">
        <v>16</v>
      </c>
      <c r="HU33" s="22" t="s">
        <v>4</v>
      </c>
      <c r="HV33" s="22" t="s">
        <v>5</v>
      </c>
      <c r="HW33" s="22" t="s">
        <v>6</v>
      </c>
      <c r="HX33" s="22" t="s">
        <v>17</v>
      </c>
      <c r="HY33" s="22" t="s">
        <v>8</v>
      </c>
      <c r="HZ33" s="22" t="s">
        <v>18</v>
      </c>
      <c r="IA33" s="22" t="s">
        <v>10</v>
      </c>
      <c r="IB33" s="22" t="s">
        <v>11</v>
      </c>
      <c r="IC33" s="22" t="s">
        <v>12</v>
      </c>
      <c r="ID33" s="22" t="s">
        <v>13</v>
      </c>
      <c r="IE33" s="22" t="s">
        <v>26</v>
      </c>
      <c r="IF33" s="22" t="s">
        <v>16</v>
      </c>
      <c r="IG33" s="22" t="s">
        <v>4</v>
      </c>
      <c r="IH33" s="22" t="s">
        <v>5</v>
      </c>
      <c r="II33" s="22" t="s">
        <v>6</v>
      </c>
      <c r="IJ33" s="22" t="s">
        <v>7</v>
      </c>
      <c r="IK33" s="22" t="s">
        <v>8</v>
      </c>
      <c r="IL33" s="22" t="s">
        <v>18</v>
      </c>
      <c r="IM33" s="22" t="s">
        <v>10</v>
      </c>
      <c r="IN33" s="22" t="s">
        <v>11</v>
      </c>
      <c r="IO33" s="22" t="s">
        <v>12</v>
      </c>
      <c r="IP33" s="22" t="s">
        <v>13</v>
      </c>
      <c r="IQ33" s="22" t="s">
        <v>14</v>
      </c>
      <c r="IR33" s="22" t="s">
        <v>3</v>
      </c>
      <c r="IS33" s="22" t="s">
        <v>4</v>
      </c>
      <c r="IT33" s="22" t="s">
        <v>5</v>
      </c>
      <c r="IU33" s="22" t="s">
        <v>15</v>
      </c>
      <c r="IV33" s="22" t="s">
        <v>7</v>
      </c>
      <c r="IW33" s="22" t="s">
        <v>8</v>
      </c>
      <c r="IX33" s="22" t="s">
        <v>9</v>
      </c>
      <c r="IY33" s="22" t="s">
        <v>10</v>
      </c>
      <c r="IZ33" s="22" t="s">
        <v>11</v>
      </c>
      <c r="JA33" s="22" t="s">
        <v>12</v>
      </c>
      <c r="JB33" s="22" t="s">
        <v>20</v>
      </c>
      <c r="JC33" s="22" t="s">
        <v>21</v>
      </c>
      <c r="JD33" s="22" t="s">
        <v>16</v>
      </c>
      <c r="JE33" s="22" t="s">
        <v>4</v>
      </c>
      <c r="JF33" s="22" t="s">
        <v>5</v>
      </c>
      <c r="JG33" s="22" t="s">
        <v>6</v>
      </c>
      <c r="JH33" s="22" t="s">
        <v>7</v>
      </c>
      <c r="JI33" s="22" t="s">
        <v>8</v>
      </c>
      <c r="JJ33" s="22" t="s">
        <v>9</v>
      </c>
      <c r="JK33" s="22" t="s">
        <v>10</v>
      </c>
      <c r="JL33" s="22" t="s">
        <v>11</v>
      </c>
      <c r="JM33" s="22" t="s">
        <v>12</v>
      </c>
      <c r="JN33" s="22" t="s">
        <v>20</v>
      </c>
      <c r="JO33" s="22" t="s">
        <v>14</v>
      </c>
      <c r="JP33" s="22" t="s">
        <v>22</v>
      </c>
      <c r="JQ33" s="22" t="s">
        <v>4</v>
      </c>
      <c r="JR33" s="22" t="s">
        <v>5</v>
      </c>
      <c r="JS33" s="22" t="s">
        <v>40</v>
      </c>
      <c r="JT33" s="22" t="s">
        <v>17</v>
      </c>
      <c r="JU33" s="22" t="s">
        <v>23</v>
      </c>
      <c r="JV33" s="22" t="s">
        <v>18</v>
      </c>
      <c r="JW33" s="22" t="s">
        <v>24</v>
      </c>
      <c r="JX33" s="22" t="s">
        <v>11</v>
      </c>
      <c r="JY33" s="22" t="s">
        <v>12</v>
      </c>
      <c r="JZ33" s="22" t="s">
        <v>13</v>
      </c>
      <c r="KA33" s="22" t="s">
        <v>14</v>
      </c>
      <c r="KB33" s="22" t="s">
        <v>22</v>
      </c>
      <c r="KC33" s="22" t="s">
        <v>4</v>
      </c>
      <c r="KD33" s="22" t="s">
        <v>5</v>
      </c>
      <c r="KE33" s="22" t="s">
        <v>6</v>
      </c>
      <c r="KF33" s="22" t="s">
        <v>17</v>
      </c>
      <c r="KG33" s="22" t="s">
        <v>8</v>
      </c>
      <c r="KH33" s="22" t="s">
        <v>18</v>
      </c>
      <c r="KI33" s="22" t="s">
        <v>10</v>
      </c>
      <c r="KJ33" s="22" t="s">
        <v>11</v>
      </c>
      <c r="KK33" s="22" t="s">
        <v>12</v>
      </c>
      <c r="KL33" s="22" t="s">
        <v>20</v>
      </c>
      <c r="KM33" s="22" t="s">
        <v>21</v>
      </c>
      <c r="KN33" s="22" t="s">
        <v>16</v>
      </c>
      <c r="KO33" s="22" t="s">
        <v>19</v>
      </c>
      <c r="KP33" s="22" t="s">
        <v>5</v>
      </c>
      <c r="KQ33" s="22" t="s">
        <v>6</v>
      </c>
      <c r="KR33" s="22" t="s">
        <v>7</v>
      </c>
      <c r="KS33" s="22" t="s">
        <v>8</v>
      </c>
      <c r="KT33" s="22" t="s">
        <v>18</v>
      </c>
      <c r="KU33" s="22" t="s">
        <v>24</v>
      </c>
      <c r="KV33" s="22" t="s">
        <v>11</v>
      </c>
      <c r="KW33" s="22" t="s">
        <v>12</v>
      </c>
      <c r="KX33" s="22" t="s">
        <v>20</v>
      </c>
      <c r="KY33" s="22" t="s">
        <v>14</v>
      </c>
      <c r="KZ33" s="22" t="s">
        <v>16</v>
      </c>
      <c r="LA33" s="22" t="s">
        <v>4</v>
      </c>
      <c r="LB33" s="22" t="s">
        <v>27</v>
      </c>
      <c r="LC33" s="22" t="s">
        <v>6</v>
      </c>
      <c r="LD33" s="22" t="s">
        <v>7</v>
      </c>
      <c r="LE33" s="22" t="s">
        <v>8</v>
      </c>
      <c r="LF33" s="22" t="s">
        <v>9</v>
      </c>
      <c r="LG33" s="22" t="s">
        <v>24</v>
      </c>
      <c r="LH33" s="22" t="s">
        <v>11</v>
      </c>
      <c r="LI33" s="22" t="s">
        <v>12</v>
      </c>
      <c r="LJ33" s="22" t="s">
        <v>20</v>
      </c>
      <c r="LK33" s="22" t="s">
        <v>14</v>
      </c>
      <c r="LL33" s="22" t="s">
        <v>22</v>
      </c>
      <c r="LM33" s="22" t="s">
        <v>19</v>
      </c>
      <c r="LN33" s="22" t="s">
        <v>5</v>
      </c>
      <c r="LO33" s="22" t="s">
        <v>15</v>
      </c>
      <c r="LP33" s="22" t="s">
        <v>7</v>
      </c>
      <c r="LQ33" s="22" t="s">
        <v>8</v>
      </c>
      <c r="LR33" s="22" t="s">
        <v>18</v>
      </c>
      <c r="LS33" s="22" t="s">
        <v>10</v>
      </c>
      <c r="LT33" s="22" t="s">
        <v>11</v>
      </c>
      <c r="LU33" s="22" t="s">
        <v>12</v>
      </c>
      <c r="LV33" s="22" t="s">
        <v>13</v>
      </c>
      <c r="LW33" s="22" t="s">
        <v>14</v>
      </c>
      <c r="LX33" s="22" t="s">
        <v>22</v>
      </c>
      <c r="LY33" s="22" t="s">
        <v>4</v>
      </c>
      <c r="LZ33" s="22" t="s">
        <v>5</v>
      </c>
      <c r="MA33" s="22" t="s">
        <v>6</v>
      </c>
      <c r="MB33" s="22" t="s">
        <v>17</v>
      </c>
      <c r="MC33" s="22" t="s">
        <v>8</v>
      </c>
      <c r="MD33" s="22" t="s">
        <v>18</v>
      </c>
      <c r="ME33" s="22" t="s">
        <v>24</v>
      </c>
      <c r="MF33" s="22" t="s">
        <v>11</v>
      </c>
      <c r="MG33" s="22" t="s">
        <v>101</v>
      </c>
      <c r="MH33" s="22" t="s">
        <v>20</v>
      </c>
      <c r="MI33" s="22" t="s">
        <v>14</v>
      </c>
      <c r="MJ33" s="22" t="s">
        <v>22</v>
      </c>
      <c r="MK33" s="22" t="s">
        <v>22</v>
      </c>
      <c r="ML33" s="22" t="s">
        <v>5</v>
      </c>
      <c r="MM33" s="22" t="s">
        <v>6</v>
      </c>
      <c r="MN33" s="22" t="s">
        <v>17</v>
      </c>
      <c r="MO33" s="22" t="s">
        <v>8</v>
      </c>
      <c r="MP33" s="22" t="s">
        <v>18</v>
      </c>
      <c r="MQ33" s="22" t="s">
        <v>24</v>
      </c>
      <c r="MR33" s="22" t="s">
        <v>11</v>
      </c>
      <c r="MS33" s="22" t="s">
        <v>12</v>
      </c>
      <c r="MT33" s="22" t="s">
        <v>20</v>
      </c>
      <c r="MU33" s="22" t="s">
        <v>14</v>
      </c>
      <c r="MV33" s="22" t="s">
        <v>22</v>
      </c>
      <c r="MW33" s="22" t="s">
        <v>4</v>
      </c>
      <c r="MX33" s="22" t="s">
        <v>5</v>
      </c>
      <c r="MY33" s="22" t="s">
        <v>15</v>
      </c>
      <c r="MZ33" s="22" t="s">
        <v>7</v>
      </c>
      <c r="NA33" s="22" t="s">
        <v>8</v>
      </c>
      <c r="NB33" s="22" t="s">
        <v>18</v>
      </c>
      <c r="NC33" s="22" t="s">
        <v>24</v>
      </c>
      <c r="ND33" s="22" t="s">
        <v>11</v>
      </c>
      <c r="NE33" s="22" t="s">
        <v>12</v>
      </c>
      <c r="NF33" s="22" t="s">
        <v>20</v>
      </c>
      <c r="NG33" s="22" t="s">
        <v>14</v>
      </c>
      <c r="NH33" s="22" t="s">
        <v>22</v>
      </c>
      <c r="NI33" s="22" t="s">
        <v>19</v>
      </c>
      <c r="NJ33" s="22" t="s">
        <v>27</v>
      </c>
      <c r="NK33" s="22" t="s">
        <v>6</v>
      </c>
      <c r="NL33" s="22" t="s">
        <v>7</v>
      </c>
      <c r="NM33" s="22" t="s">
        <v>8</v>
      </c>
      <c r="NN33" s="22" t="s">
        <v>9</v>
      </c>
      <c r="NO33" s="22" t="s">
        <v>10</v>
      </c>
      <c r="NP33" s="22" t="s">
        <v>11</v>
      </c>
      <c r="NQ33" s="22" t="s">
        <v>12</v>
      </c>
      <c r="NR33" s="22" t="s">
        <v>20</v>
      </c>
      <c r="NS33" s="22" t="s">
        <v>14</v>
      </c>
      <c r="NT33" s="22" t="s">
        <v>16</v>
      </c>
      <c r="NU33" s="22" t="s">
        <v>19</v>
      </c>
      <c r="NV33" s="22" t="s">
        <v>5</v>
      </c>
      <c r="NW33" s="22" t="s">
        <v>6</v>
      </c>
      <c r="NX33" s="22" t="s">
        <v>7</v>
      </c>
      <c r="NY33" s="22" t="s">
        <v>8</v>
      </c>
      <c r="NZ33" s="22" t="s">
        <v>18</v>
      </c>
      <c r="OA33" s="22" t="s">
        <v>24</v>
      </c>
      <c r="OB33" s="22" t="s">
        <v>11</v>
      </c>
      <c r="OC33" s="22" t="s">
        <v>12</v>
      </c>
      <c r="OD33" s="22" t="s">
        <v>13</v>
      </c>
      <c r="OE33" s="22" t="s">
        <v>14</v>
      </c>
      <c r="OF33" s="22" t="s">
        <v>16</v>
      </c>
      <c r="OG33" s="22" t="s">
        <v>4</v>
      </c>
      <c r="OH33" s="22" t="s">
        <v>5</v>
      </c>
      <c r="OI33" s="22" t="s">
        <v>15</v>
      </c>
      <c r="OJ33" s="22" t="s">
        <v>7</v>
      </c>
      <c r="OK33" s="22" t="s">
        <v>8</v>
      </c>
      <c r="OL33" s="22" t="s">
        <v>18</v>
      </c>
    </row>
    <row r="34" spans="1:402" s="145" customFormat="1" x14ac:dyDescent="0.35">
      <c r="A34" s="12"/>
      <c r="B34" s="145">
        <f>'[1]Sept 07'!H5</f>
        <v>0.96058284561934193</v>
      </c>
      <c r="C34" s="145">
        <f>'[1]Oct 07'!H5</f>
        <v>0.95175532484212777</v>
      </c>
      <c r="D34" s="145">
        <f>'[1]Nov 07'!H5</f>
        <v>0.94493267045915275</v>
      </c>
      <c r="E34" s="145">
        <f>'[1]Dec 07'!H5</f>
        <v>0.95211954160852197</v>
      </c>
      <c r="F34" s="145">
        <f>'[1]Jan 08'!H5</f>
        <v>0.94663902821851431</v>
      </c>
      <c r="G34" s="145">
        <f>'[1]Feb 08'!H5</f>
        <v>0.94989839718281399</v>
      </c>
      <c r="H34" s="145">
        <f>'[1]Mar 08'!H5</f>
        <v>0.94564202780673934</v>
      </c>
      <c r="I34" s="145">
        <v>0.94589224230938818</v>
      </c>
      <c r="J34" s="145">
        <f>'[1]May 08'!H5</f>
        <v>0.94542340911347167</v>
      </c>
      <c r="K34" s="145">
        <f>'[1]Jun 08'!H5</f>
        <v>0.94685848893384261</v>
      </c>
      <c r="L34" s="145">
        <f>'[1]Jul 08'!H5</f>
        <v>0.94696974347327001</v>
      </c>
      <c r="M34" s="145">
        <v>0.94099999999999995</v>
      </c>
      <c r="N34" s="145">
        <v>0.95299999999999996</v>
      </c>
      <c r="O34" s="145">
        <v>0.94499999999999995</v>
      </c>
      <c r="P34" s="145">
        <v>0.93400000000000005</v>
      </c>
      <c r="Q34" s="145">
        <v>0.94</v>
      </c>
      <c r="R34" s="145">
        <v>0.93300000000000005</v>
      </c>
      <c r="S34" s="145">
        <v>0.93100000000000005</v>
      </c>
      <c r="T34" s="145">
        <v>0.93899999999999995</v>
      </c>
      <c r="U34" s="145">
        <v>0.94899999999999995</v>
      </c>
      <c r="V34" s="145">
        <v>0.94899999999999995</v>
      </c>
      <c r="W34" s="145">
        <v>0.95399999999999996</v>
      </c>
      <c r="X34" s="145">
        <v>0.95399999999999996</v>
      </c>
      <c r="Y34" s="145">
        <v>0.95199999999999996</v>
      </c>
      <c r="Z34" s="145">
        <v>0.95399999999999996</v>
      </c>
      <c r="AA34" s="145">
        <v>0.95599999999999996</v>
      </c>
      <c r="AB34" s="145">
        <v>0.95799999999999996</v>
      </c>
      <c r="AC34" s="145">
        <v>0.94499999999999995</v>
      </c>
      <c r="AD34" s="145">
        <v>0.95299999999999996</v>
      </c>
      <c r="AE34" s="145">
        <v>0.95699999999999996</v>
      </c>
      <c r="AF34" s="145">
        <v>0.94899999999999995</v>
      </c>
      <c r="AG34" s="145">
        <v>0.95399999999999996</v>
      </c>
      <c r="AH34" s="145">
        <v>0.95299999999999996</v>
      </c>
      <c r="AI34" s="145">
        <v>0.95</v>
      </c>
      <c r="AJ34" s="145">
        <v>0.95</v>
      </c>
      <c r="AK34" s="145">
        <v>0.89100000000000001</v>
      </c>
      <c r="AL34" s="145">
        <v>0.95799999999999996</v>
      </c>
      <c r="AM34" s="145">
        <v>0.95699999999999996</v>
      </c>
      <c r="AN34" s="145">
        <v>0.94799999999999995</v>
      </c>
      <c r="AO34" s="145">
        <v>0.95299999999999996</v>
      </c>
      <c r="AP34" s="145">
        <v>0.94499999999999995</v>
      </c>
      <c r="AQ34" s="145">
        <v>0.95599999999999996</v>
      </c>
      <c r="AR34" s="145">
        <v>0.95499999999999996</v>
      </c>
      <c r="AS34" s="145">
        <v>0.95499999999999996</v>
      </c>
      <c r="AT34" s="145">
        <v>0.95899999999999996</v>
      </c>
      <c r="AU34" s="145">
        <v>0.95799999999999996</v>
      </c>
      <c r="AV34" s="145">
        <v>0.96099999999999997</v>
      </c>
      <c r="AW34" s="145">
        <f>377015/393411</f>
        <v>0.95832348358332631</v>
      </c>
      <c r="AX34" s="145">
        <v>0.95799999999999996</v>
      </c>
      <c r="AY34" s="145">
        <v>0.95799999999999996</v>
      </c>
      <c r="AZ34" s="145">
        <v>0.95899999999999996</v>
      </c>
      <c r="BA34" s="145">
        <v>0.96</v>
      </c>
      <c r="BB34" s="145">
        <v>0.95799999999999996</v>
      </c>
      <c r="BC34" s="145">
        <v>0.95899999999999996</v>
      </c>
      <c r="BD34" s="145">
        <v>0.96699999999999997</v>
      </c>
      <c r="BE34" s="145">
        <v>0.96599999999999997</v>
      </c>
      <c r="BF34" s="145">
        <v>0.96699999999999997</v>
      </c>
      <c r="BG34" s="145">
        <v>0.97399999999999998</v>
      </c>
      <c r="BH34" s="145">
        <v>0.97499999999999998</v>
      </c>
      <c r="BI34" s="145">
        <v>0.97199999999999998</v>
      </c>
      <c r="BJ34" s="145">
        <v>0.97099999999999997</v>
      </c>
      <c r="BK34" s="145">
        <v>0.97299999999999998</v>
      </c>
      <c r="BL34" s="145">
        <v>0.97499999999999998</v>
      </c>
      <c r="BM34" s="145">
        <v>0.97099999999999997</v>
      </c>
      <c r="BN34" s="145">
        <v>0.97099999999999997</v>
      </c>
      <c r="BO34" s="145">
        <v>0.97299999999999998</v>
      </c>
      <c r="BP34" s="145">
        <v>0.97099999999999997</v>
      </c>
      <c r="BQ34" s="145">
        <v>0.97299999999999998</v>
      </c>
      <c r="BR34" s="145">
        <v>0.97599999999999998</v>
      </c>
      <c r="BS34" s="145">
        <v>0.97499999999999998</v>
      </c>
      <c r="BT34" s="145">
        <v>0.97499999999999998</v>
      </c>
      <c r="BU34" s="145">
        <v>0.97499999999999998</v>
      </c>
      <c r="BV34" s="145">
        <v>0.97099999999999997</v>
      </c>
      <c r="BW34" s="145">
        <v>0.96899999999999997</v>
      </c>
      <c r="BX34" s="145">
        <v>0.97</v>
      </c>
      <c r="BY34" s="145">
        <v>0.96699999999999997</v>
      </c>
      <c r="BZ34" s="145">
        <v>0.97</v>
      </c>
      <c r="CA34" s="145">
        <v>0.96699999999999997</v>
      </c>
      <c r="CB34" s="145">
        <v>0.96699999999999997</v>
      </c>
      <c r="CC34" s="145">
        <v>0.96799999999999997</v>
      </c>
      <c r="CD34" s="145">
        <v>0.96499999999999997</v>
      </c>
      <c r="CE34" s="145">
        <v>0.96699999999999997</v>
      </c>
      <c r="CF34" s="145">
        <v>0.96399999999999997</v>
      </c>
      <c r="CG34" s="145">
        <v>0.96699999999999997</v>
      </c>
      <c r="CH34" s="145">
        <v>0.96599999999999997</v>
      </c>
      <c r="CI34" s="145">
        <v>0.96899999999999997</v>
      </c>
      <c r="CJ34" s="145">
        <v>0.96299999999999997</v>
      </c>
      <c r="CK34" s="145">
        <v>0.96599999999999997</v>
      </c>
      <c r="CL34" s="145">
        <v>0.96099999999999997</v>
      </c>
      <c r="CM34" s="145">
        <v>0.97</v>
      </c>
      <c r="CN34" s="145">
        <v>0.97099999999999997</v>
      </c>
      <c r="CO34" s="145">
        <v>0.96799999999999997</v>
      </c>
      <c r="CP34" s="145">
        <v>0.97099999999999997</v>
      </c>
      <c r="CQ34" s="145">
        <v>0.97099999999999997</v>
      </c>
      <c r="CR34" s="145">
        <v>0.97099999999999997</v>
      </c>
      <c r="CS34" s="145">
        <v>0.96699999999999997</v>
      </c>
      <c r="CT34" s="145">
        <v>0.97</v>
      </c>
      <c r="CU34" s="145">
        <v>0.96899999999999997</v>
      </c>
      <c r="CV34" s="145">
        <v>0.96899999999999997</v>
      </c>
      <c r="CW34" s="145">
        <v>0.96499999999999997</v>
      </c>
      <c r="CX34" s="145">
        <v>0.97</v>
      </c>
      <c r="CY34" s="145">
        <v>0.96699999999999997</v>
      </c>
      <c r="CZ34" s="145">
        <v>0.97099999999999997</v>
      </c>
      <c r="DA34" s="145">
        <v>0.99099999999999999</v>
      </c>
      <c r="DB34" s="145">
        <v>0.96899999999999997</v>
      </c>
      <c r="DC34" s="145">
        <v>0.97099999999999997</v>
      </c>
      <c r="DD34" s="145">
        <v>0.97199999999999998</v>
      </c>
      <c r="DE34" s="145">
        <v>0.96899999999999997</v>
      </c>
      <c r="DF34" s="145">
        <v>0.97099999999999997</v>
      </c>
      <c r="DG34" s="145">
        <v>0.96899999999999997</v>
      </c>
      <c r="DH34" s="145">
        <v>0.97199999999999998</v>
      </c>
      <c r="DI34" s="145">
        <v>0.99</v>
      </c>
      <c r="DJ34" s="145">
        <v>0.96699999999999997</v>
      </c>
      <c r="DK34" s="145">
        <v>0.97</v>
      </c>
      <c r="DL34" s="145">
        <v>0.97199999999999998</v>
      </c>
      <c r="DM34" s="145">
        <v>0.97299999999999998</v>
      </c>
      <c r="DN34" s="145">
        <v>0.97599999999999998</v>
      </c>
      <c r="DO34" s="145">
        <v>0.97299999999999998</v>
      </c>
      <c r="DP34" s="145">
        <v>0.97399999999999998</v>
      </c>
      <c r="DQ34" s="145">
        <v>0.97199999999999998</v>
      </c>
      <c r="DR34" s="145">
        <v>0.97</v>
      </c>
      <c r="DS34" s="145">
        <v>0.97399999999999998</v>
      </c>
      <c r="DT34" s="145">
        <v>0.97099999999999997</v>
      </c>
      <c r="DU34" s="145">
        <v>0.97299999999999998</v>
      </c>
      <c r="DV34" s="145">
        <v>0.97299999999999998</v>
      </c>
      <c r="DW34" s="145">
        <v>0.97399999999999998</v>
      </c>
      <c r="DX34" s="145">
        <v>0.97699999999999998</v>
      </c>
      <c r="DY34" s="145">
        <v>0.97699999999999998</v>
      </c>
      <c r="DZ34" s="145">
        <v>0.97499999999999998</v>
      </c>
      <c r="EA34" s="145">
        <v>0.97599999999999998</v>
      </c>
      <c r="EB34" s="145">
        <v>0.97699999999999998</v>
      </c>
      <c r="EC34" s="145">
        <v>0.97199999999999998</v>
      </c>
      <c r="ED34" s="145">
        <v>0.97099999999999997</v>
      </c>
      <c r="EE34" s="145">
        <v>0.97499999999999998</v>
      </c>
      <c r="EF34" s="145">
        <v>0.97099999999999997</v>
      </c>
      <c r="EG34" s="145">
        <v>0.97099999999999997</v>
      </c>
      <c r="EH34" s="145">
        <v>0.96799999999999997</v>
      </c>
      <c r="EI34" s="145">
        <v>0.97299999999999998</v>
      </c>
      <c r="EJ34" s="145">
        <v>0.97299999999999998</v>
      </c>
      <c r="EK34" s="145">
        <v>0.97499999999999998</v>
      </c>
      <c r="EL34" s="145">
        <v>0.97599999999999998</v>
      </c>
      <c r="EM34" s="145">
        <v>0.97599999999999998</v>
      </c>
      <c r="EN34" s="145">
        <v>0.97499999999999998</v>
      </c>
      <c r="EO34" s="145">
        <v>0.97599999999999998</v>
      </c>
      <c r="EP34" s="145">
        <v>0.97899999999999998</v>
      </c>
      <c r="EQ34" s="145">
        <v>0.97399999999999998</v>
      </c>
      <c r="ER34" s="145">
        <v>0.97699999999999998</v>
      </c>
      <c r="ES34" s="145">
        <v>0.97599999999999998</v>
      </c>
      <c r="ET34" s="145">
        <v>0.97899999999999998</v>
      </c>
      <c r="EU34" s="145">
        <v>0.98099999999999998</v>
      </c>
      <c r="EV34" s="145">
        <v>0.98599999999999999</v>
      </c>
      <c r="EW34" s="145">
        <v>0.98399999999999999</v>
      </c>
      <c r="EX34" s="145">
        <v>0.97899999999999998</v>
      </c>
      <c r="EY34" s="145">
        <v>0.97899999999999998</v>
      </c>
      <c r="EZ34" s="145">
        <v>0.98299999999999998</v>
      </c>
      <c r="FA34" s="145">
        <v>0.98599999999999999</v>
      </c>
      <c r="FB34" s="145">
        <v>0.98899999999999999</v>
      </c>
      <c r="FC34" s="145">
        <v>0.98899999999999999</v>
      </c>
      <c r="FD34" s="145">
        <v>0.99299999999999999</v>
      </c>
      <c r="FE34" s="145">
        <v>0.99399999999999999</v>
      </c>
      <c r="FF34" s="145">
        <v>0.97399999999999998</v>
      </c>
      <c r="FG34" s="145">
        <v>0.999</v>
      </c>
      <c r="FH34" s="145">
        <v>1.014</v>
      </c>
      <c r="FI34" s="145">
        <v>1.0229999999999999</v>
      </c>
      <c r="FJ34" s="145">
        <v>1.024</v>
      </c>
      <c r="FK34" s="145">
        <v>1.0189999999999999</v>
      </c>
      <c r="FL34" s="145">
        <v>1.0109999999999999</v>
      </c>
      <c r="FM34" s="145">
        <v>1.0009999999999999</v>
      </c>
      <c r="FN34" s="145">
        <v>1.0109999999999999</v>
      </c>
      <c r="FO34" s="145">
        <v>1.002</v>
      </c>
      <c r="FP34" s="145">
        <v>1.002</v>
      </c>
      <c r="FQ34" s="145">
        <v>1.01</v>
      </c>
      <c r="FR34" s="145">
        <v>1.012</v>
      </c>
      <c r="FS34" s="145">
        <v>1.0349999999999999</v>
      </c>
      <c r="FT34" s="145">
        <v>1.05</v>
      </c>
      <c r="FU34" s="145">
        <v>1.0509999999999999</v>
      </c>
      <c r="FV34" s="145">
        <v>1.036</v>
      </c>
      <c r="FW34" s="145">
        <v>1.012</v>
      </c>
      <c r="FX34" s="145">
        <v>0.99</v>
      </c>
      <c r="FY34" s="145">
        <v>0.97</v>
      </c>
      <c r="FZ34" s="145">
        <v>0.97199999999999998</v>
      </c>
      <c r="GA34" s="145">
        <v>0.96399999999999997</v>
      </c>
      <c r="GB34" s="145">
        <v>0.97099999999999997</v>
      </c>
      <c r="GC34" s="145">
        <v>0.97099999999999997</v>
      </c>
      <c r="GD34" s="145">
        <v>0.96899999999999997</v>
      </c>
      <c r="GE34" s="145">
        <v>0.97599999999999998</v>
      </c>
      <c r="GF34" s="145">
        <v>0.97199999999999998</v>
      </c>
      <c r="GG34" s="145">
        <v>0.97899999999999998</v>
      </c>
      <c r="GH34" s="145">
        <v>0.98399999999999999</v>
      </c>
      <c r="GI34" s="145">
        <v>0.98</v>
      </c>
      <c r="GJ34" s="145">
        <v>0.98699999999999999</v>
      </c>
      <c r="GK34" s="145">
        <v>0.98699999999999999</v>
      </c>
      <c r="GL34" s="145">
        <v>0.98199999999999998</v>
      </c>
      <c r="GM34" s="145">
        <v>0.97499999999999998</v>
      </c>
      <c r="GN34" s="145">
        <v>0.97599999999999998</v>
      </c>
      <c r="GO34" s="145">
        <v>0.97499999999999998</v>
      </c>
      <c r="GP34" s="145">
        <v>0.97699999999999998</v>
      </c>
      <c r="GQ34" s="145">
        <v>0.98099999999999998</v>
      </c>
      <c r="GR34" s="145">
        <v>0.98299999999999998</v>
      </c>
      <c r="GS34" s="144"/>
      <c r="GT34" s="144"/>
      <c r="GU34" s="144"/>
      <c r="GV34" s="145">
        <f>'[1]Sept 07'!H7</f>
        <v>5.9775840597758409E-2</v>
      </c>
      <c r="GW34" s="145">
        <f>'[1]Oct 07'!H7</f>
        <v>7.5040783034257749E-2</v>
      </c>
      <c r="GX34" s="145">
        <f>'[1]Nov 07'!H7</f>
        <v>5.0586806960744635E-2</v>
      </c>
      <c r="GY34" s="145">
        <f>'[1]Dec 07'!H7</f>
        <v>6.263406263406264E-2</v>
      </c>
      <c r="GZ34" s="145">
        <f>'[1]Jan 08'!H7</f>
        <v>5.792563600782779E-2</v>
      </c>
      <c r="HA34" s="145">
        <f>'[1]Feb 08'!H7</f>
        <v>6.9177555726364331E-2</v>
      </c>
      <c r="HB34" s="145">
        <f>'[1]Mar 08'!H7</f>
        <v>7.1806500377928947E-2</v>
      </c>
      <c r="HC34" s="145">
        <v>7.995088612107884E-2</v>
      </c>
      <c r="HD34" s="145">
        <f>'[1]May 08'!H7</f>
        <v>0.10292921074043938</v>
      </c>
      <c r="HE34" s="145">
        <f>'[1]Jun 08'!H7</f>
        <v>0.11052202283849918</v>
      </c>
      <c r="HF34" s="145">
        <f>'[1]Jul 08'!H7</f>
        <v>0.10008169934640523</v>
      </c>
      <c r="HG34" s="145">
        <v>9.6000000000000002E-2</v>
      </c>
      <c r="HH34" s="145">
        <v>8.4000000000000005E-2</v>
      </c>
      <c r="HI34" s="145">
        <v>0.08</v>
      </c>
      <c r="HJ34" s="145">
        <v>0.06</v>
      </c>
      <c r="HK34" s="145">
        <v>8.5000000000000006E-2</v>
      </c>
      <c r="HL34" s="145">
        <v>6.3E-2</v>
      </c>
      <c r="HM34" s="145">
        <v>6.8000000000000005E-2</v>
      </c>
      <c r="HN34" s="145">
        <v>8.3000000000000004E-2</v>
      </c>
      <c r="HO34" s="145">
        <v>0.115</v>
      </c>
      <c r="HP34" s="145">
        <v>0.154</v>
      </c>
      <c r="HQ34" s="145">
        <v>0.21</v>
      </c>
      <c r="HR34" s="145">
        <v>0.19600000000000001</v>
      </c>
      <c r="HS34" s="145">
        <v>0.16800000000000001</v>
      </c>
      <c r="HT34" s="145">
        <v>0.17</v>
      </c>
      <c r="HU34" s="145">
        <v>0.16400000000000001</v>
      </c>
      <c r="HV34" s="145">
        <v>0.16300000000000001</v>
      </c>
      <c r="HW34" s="145">
        <v>0.18099999999999999</v>
      </c>
      <c r="HX34" s="145">
        <v>0.115</v>
      </c>
      <c r="HY34" s="145">
        <v>0.13500000000000001</v>
      </c>
      <c r="HZ34" s="145">
        <v>0.2</v>
      </c>
      <c r="IA34" s="145">
        <v>0.20599999999999999</v>
      </c>
      <c r="IB34" s="145">
        <v>0.214</v>
      </c>
      <c r="IC34" s="145">
        <v>0.217</v>
      </c>
      <c r="ID34" s="145">
        <v>0.18</v>
      </c>
      <c r="IE34" s="145">
        <v>0.18</v>
      </c>
      <c r="IF34" s="145">
        <v>0.13100000000000001</v>
      </c>
      <c r="IG34" s="145">
        <v>0.15</v>
      </c>
      <c r="IH34" s="145">
        <v>0.15</v>
      </c>
      <c r="II34" s="145">
        <v>0.188</v>
      </c>
      <c r="IJ34" s="145">
        <v>0.159</v>
      </c>
      <c r="IK34" s="145">
        <v>0.19400000000000001</v>
      </c>
      <c r="IL34" s="145">
        <v>0.23100000000000001</v>
      </c>
      <c r="IM34" s="145">
        <v>0.28799999999999998</v>
      </c>
      <c r="IN34" s="145">
        <v>0.32100000000000001</v>
      </c>
      <c r="IO34" s="145">
        <v>0.42399999999999999</v>
      </c>
      <c r="IP34" s="145">
        <v>0.32700000000000001</v>
      </c>
      <c r="IQ34" s="145">
        <v>0.36399999999999999</v>
      </c>
      <c r="IR34" s="145">
        <v>0.31</v>
      </c>
      <c r="IS34" s="145">
        <v>0.29899999999999999</v>
      </c>
      <c r="IT34" s="145">
        <v>0.246</v>
      </c>
      <c r="IU34" s="145">
        <v>0.32400000000000001</v>
      </c>
      <c r="IV34" s="145">
        <v>0.253</v>
      </c>
      <c r="IW34" s="145">
        <v>0.315</v>
      </c>
      <c r="IX34" s="145">
        <v>0.442</v>
      </c>
      <c r="IY34" s="145">
        <v>0.53600000000000003</v>
      </c>
      <c r="IZ34" s="145">
        <v>0.59899999999999998</v>
      </c>
      <c r="JA34" s="145">
        <v>0.53700000000000003</v>
      </c>
      <c r="JB34" s="145">
        <v>0.46200000000000002</v>
      </c>
      <c r="JC34" s="145">
        <v>0.48399999999999999</v>
      </c>
      <c r="JD34" s="145">
        <v>0.39300000000000002</v>
      </c>
      <c r="JE34" s="145">
        <v>0.35599999999999998</v>
      </c>
      <c r="JF34" s="145">
        <v>0.33200000000000002</v>
      </c>
      <c r="JG34" s="145">
        <v>0.38100000000000001</v>
      </c>
      <c r="JH34" s="145">
        <v>0.307</v>
      </c>
      <c r="JI34" s="145">
        <v>0.35299999999999998</v>
      </c>
      <c r="JJ34" s="145">
        <v>0.45100000000000001</v>
      </c>
      <c r="JK34" s="145">
        <v>0.504</v>
      </c>
      <c r="JL34" s="145">
        <v>0.50700000000000001</v>
      </c>
      <c r="JM34" s="145">
        <v>0.52300000000000002</v>
      </c>
      <c r="JN34" s="145">
        <v>0.495</v>
      </c>
      <c r="JO34" s="145">
        <v>0.34699999999999998</v>
      </c>
      <c r="JP34" s="145">
        <v>0.28299999999999997</v>
      </c>
      <c r="JQ34" s="145">
        <v>0.223</v>
      </c>
      <c r="JR34" s="145">
        <v>0.222</v>
      </c>
      <c r="JS34" s="145">
        <v>0.23</v>
      </c>
      <c r="JT34" s="145">
        <v>0.154</v>
      </c>
      <c r="JU34" s="145">
        <v>0.17100000000000001</v>
      </c>
      <c r="JV34" s="145">
        <v>0.19500000000000001</v>
      </c>
      <c r="JW34" s="145">
        <v>0.23300000000000001</v>
      </c>
      <c r="JX34" s="145">
        <v>0.22800000000000001</v>
      </c>
      <c r="JY34" s="145">
        <v>0.27500000000000002</v>
      </c>
      <c r="JZ34" s="145">
        <v>0.26500000000000001</v>
      </c>
      <c r="KA34" s="145">
        <v>0.25</v>
      </c>
      <c r="KB34" s="145">
        <v>0.245</v>
      </c>
      <c r="KC34" s="145">
        <v>0.21199999999999999</v>
      </c>
      <c r="KD34" s="145">
        <v>0.161</v>
      </c>
      <c r="KE34" s="145">
        <v>0.25</v>
      </c>
      <c r="KF34" s="145">
        <v>0.17799999999999999</v>
      </c>
      <c r="KG34" s="145">
        <v>0.17899999999999999</v>
      </c>
      <c r="KH34" s="145">
        <v>0.27900000000000003</v>
      </c>
      <c r="KI34" s="145">
        <v>0.28000000000000003</v>
      </c>
      <c r="KJ34" s="145">
        <v>0.28799999999999998</v>
      </c>
      <c r="KK34" s="145">
        <v>0.311</v>
      </c>
      <c r="KL34" s="145">
        <v>0.34599999999999997</v>
      </c>
      <c r="KM34" s="145">
        <v>0.29099999999999998</v>
      </c>
      <c r="KN34" s="145">
        <v>0.308</v>
      </c>
      <c r="KO34" s="145">
        <v>0.25600000000000001</v>
      </c>
      <c r="KP34" s="145">
        <v>0.2</v>
      </c>
      <c r="KQ34" s="145">
        <v>0.24099999999999999</v>
      </c>
      <c r="KR34" s="145">
        <v>0.157</v>
      </c>
      <c r="KS34" s="145">
        <v>0.16900000000000001</v>
      </c>
      <c r="KT34" s="145">
        <v>0.253</v>
      </c>
      <c r="KU34" s="145">
        <v>0.28199999999999997</v>
      </c>
      <c r="KV34" s="145">
        <v>0.27900000000000003</v>
      </c>
      <c r="KW34" s="145">
        <v>0.31900000000000001</v>
      </c>
      <c r="KX34" s="145">
        <v>0.26700000000000002</v>
      </c>
      <c r="KY34" s="145">
        <v>0.34499999999999997</v>
      </c>
      <c r="KZ34" s="145">
        <v>0.29199999999999998</v>
      </c>
      <c r="LA34" s="145">
        <v>0.25900000000000001</v>
      </c>
      <c r="LB34" s="145">
        <v>0.23899999999999999</v>
      </c>
      <c r="LC34" s="145">
        <v>0.27700000000000002</v>
      </c>
      <c r="LD34" s="145">
        <v>0.23599999999999999</v>
      </c>
      <c r="LE34" s="145">
        <v>0.23100000000000001</v>
      </c>
      <c r="LF34" s="145">
        <v>0.316</v>
      </c>
      <c r="LG34" s="145">
        <v>0.311</v>
      </c>
      <c r="LH34" s="145">
        <v>0.38</v>
      </c>
      <c r="LI34" s="145">
        <v>0.373</v>
      </c>
      <c r="LJ34" s="145">
        <v>0.32100000000000001</v>
      </c>
      <c r="LK34" s="145">
        <v>0.34499999999999997</v>
      </c>
      <c r="LL34" s="145">
        <v>0.28399999999999997</v>
      </c>
      <c r="LM34" s="145">
        <v>0.30399999999999999</v>
      </c>
      <c r="LN34" s="145">
        <v>0.29299999999999998</v>
      </c>
      <c r="LO34" s="145">
        <v>0.33500000000000002</v>
      </c>
      <c r="LP34" s="145">
        <v>0.28799999999999998</v>
      </c>
      <c r="LQ34" s="145">
        <v>0.33200000000000002</v>
      </c>
      <c r="LR34" s="145">
        <v>0.374</v>
      </c>
      <c r="LS34" s="145">
        <v>0.39500000000000002</v>
      </c>
      <c r="LT34" s="145">
        <v>0.49099999999999999</v>
      </c>
      <c r="LU34" s="145">
        <v>0.47</v>
      </c>
      <c r="LV34" s="145">
        <v>0.46100000000000002</v>
      </c>
      <c r="LW34" s="145">
        <v>0.39900000000000002</v>
      </c>
      <c r="LX34" s="145">
        <v>0.29499999999999998</v>
      </c>
      <c r="LY34" s="145">
        <v>0.30499999999999999</v>
      </c>
      <c r="LZ34" s="145">
        <v>0.29299999999999998</v>
      </c>
      <c r="MA34" s="145">
        <v>0.311</v>
      </c>
      <c r="MB34" s="145">
        <v>0.26100000000000001</v>
      </c>
      <c r="MC34" s="145">
        <v>0.27700000000000002</v>
      </c>
      <c r="MD34" s="145">
        <v>0.33900000000000002</v>
      </c>
      <c r="ME34" s="145">
        <v>0.40200000000000002</v>
      </c>
      <c r="MF34" s="145">
        <v>0.51</v>
      </c>
      <c r="MG34" s="145">
        <v>0.48799999999999999</v>
      </c>
      <c r="MH34" s="145">
        <v>0.55900000000000005</v>
      </c>
      <c r="MI34" s="145">
        <v>0.61799999999999999</v>
      </c>
      <c r="MJ34" s="145">
        <v>0.60199999999999998</v>
      </c>
      <c r="MK34" s="145">
        <v>0.55700000000000005</v>
      </c>
      <c r="ML34" s="145">
        <v>0.44900000000000001</v>
      </c>
      <c r="MM34" s="145">
        <v>0.66400000000000003</v>
      </c>
      <c r="MN34" s="145">
        <v>0.51200000000000001</v>
      </c>
      <c r="MO34" s="145">
        <v>0.69</v>
      </c>
      <c r="MP34" s="145">
        <v>0.56999999999999995</v>
      </c>
      <c r="MQ34" s="145">
        <v>0.379</v>
      </c>
      <c r="MR34" s="145">
        <v>0.46100000000000002</v>
      </c>
      <c r="MS34" s="145">
        <v>0.95899999999999996</v>
      </c>
      <c r="MT34" s="145">
        <v>1.0860000000000001</v>
      </c>
      <c r="MU34" s="145">
        <v>1.1140000000000001</v>
      </c>
      <c r="MV34" s="145">
        <v>0.99199999999999999</v>
      </c>
      <c r="MW34" s="145">
        <v>1.1359999999999999</v>
      </c>
      <c r="MX34" s="145">
        <v>1.3260000000000001</v>
      </c>
      <c r="MY34" s="145">
        <v>2.1150000000000002</v>
      </c>
      <c r="MZ34" s="145">
        <v>2.383</v>
      </c>
      <c r="NA34" s="145">
        <v>3.097</v>
      </c>
      <c r="NB34" s="145">
        <v>3.3610000000000002</v>
      </c>
      <c r="NC34" s="145">
        <v>2.2730000000000001</v>
      </c>
      <c r="ND34" s="145">
        <v>2.5099999999999998</v>
      </c>
      <c r="NE34" s="145">
        <v>1.889</v>
      </c>
      <c r="NF34" s="145">
        <v>1.488</v>
      </c>
      <c r="NG34" s="145">
        <v>1.351</v>
      </c>
      <c r="NH34" s="145">
        <v>1.2</v>
      </c>
      <c r="NI34" s="145">
        <v>1.3120000000000001</v>
      </c>
      <c r="NJ34" s="145">
        <v>1.8480000000000001</v>
      </c>
      <c r="NK34" s="145">
        <v>1.8480000000000001</v>
      </c>
      <c r="NL34" s="145">
        <v>2.4380000000000002</v>
      </c>
      <c r="NM34" s="145">
        <v>2.5110000000000001</v>
      </c>
      <c r="NN34" s="145">
        <v>2.8849999999999998</v>
      </c>
      <c r="NO34" s="145">
        <v>2.1819999999999999</v>
      </c>
      <c r="NP34" s="145">
        <v>1.0569999999999999</v>
      </c>
      <c r="NQ34" s="145">
        <v>0.53800000000000003</v>
      </c>
      <c r="NR34" s="145">
        <v>0.27300000000000002</v>
      </c>
      <c r="NS34" s="145">
        <v>0.39400000000000002</v>
      </c>
      <c r="NT34" s="145">
        <v>0.33900000000000002</v>
      </c>
      <c r="NU34" s="145">
        <v>0.28599999999999998</v>
      </c>
      <c r="NV34" s="145">
        <v>0.315</v>
      </c>
      <c r="NW34" s="145">
        <v>0.371</v>
      </c>
      <c r="NX34" s="145">
        <v>0.29399999999999998</v>
      </c>
      <c r="NY34" s="145">
        <v>0.34100000000000003</v>
      </c>
      <c r="NZ34" s="145">
        <v>0.58299999999999996</v>
      </c>
      <c r="OA34" s="145">
        <v>0.49199999999999999</v>
      </c>
      <c r="OB34" s="145">
        <v>0.69699999999999995</v>
      </c>
      <c r="OC34" s="145">
        <v>0.746</v>
      </c>
      <c r="OD34" s="145">
        <v>0.51900000000000002</v>
      </c>
      <c r="OE34" s="145">
        <v>0.54400000000000004</v>
      </c>
      <c r="OF34" s="145">
        <v>0.438</v>
      </c>
      <c r="OG34" s="145">
        <v>0.32400000000000001</v>
      </c>
      <c r="OH34" s="145">
        <v>0.38800000000000001</v>
      </c>
      <c r="OI34" s="145">
        <v>0.51200000000000001</v>
      </c>
      <c r="OJ34" s="145">
        <v>0.39500000000000002</v>
      </c>
      <c r="OK34" s="145">
        <v>0.439</v>
      </c>
      <c r="OL34" s="145">
        <v>0.48499999999999999</v>
      </c>
    </row>
    <row r="35" spans="1:402" ht="14.5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8" t="s">
        <v>41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T35" s="2"/>
      <c r="GU35" s="2"/>
      <c r="GV35" s="3"/>
      <c r="GW35" s="3"/>
      <c r="GX35" s="3"/>
      <c r="GY35" s="3"/>
      <c r="GZ35" s="3"/>
      <c r="HA35" s="3"/>
      <c r="HB35" s="3"/>
      <c r="HC35" s="3"/>
      <c r="HD35" s="3"/>
      <c r="HE35" s="3"/>
    </row>
    <row r="36" spans="1:402" s="32" customFormat="1" ht="21" customHeight="1" x14ac:dyDescent="0.25">
      <c r="A36" s="28"/>
      <c r="B36" s="29"/>
      <c r="C36" s="29"/>
      <c r="D36" s="29"/>
      <c r="E36" s="29"/>
      <c r="F36" s="29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1"/>
      <c r="GZ36" s="31"/>
      <c r="HA36" s="31"/>
      <c r="HB36" s="31"/>
      <c r="HC36" s="31"/>
      <c r="HD36" s="31"/>
      <c r="HE36" s="31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</row>
    <row r="37" spans="1:402" s="32" customFormat="1" ht="21" customHeight="1" x14ac:dyDescent="0.35">
      <c r="A37" s="8" t="s">
        <v>44</v>
      </c>
      <c r="B37" s="34"/>
      <c r="C37" s="34"/>
      <c r="D37" s="34"/>
      <c r="E37" s="34"/>
      <c r="F37" s="34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 t="s">
        <v>45</v>
      </c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6"/>
      <c r="GT37" s="37"/>
      <c r="GU37" s="37"/>
      <c r="GV37" s="37"/>
      <c r="GW37" s="37"/>
      <c r="GX37" s="37"/>
      <c r="GY37" s="37"/>
      <c r="GZ37" s="38"/>
      <c r="HA37" s="38"/>
      <c r="HB37" s="38"/>
      <c r="HC37" s="38"/>
      <c r="HD37" s="38"/>
      <c r="HE37" s="38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</row>
    <row r="38" spans="1:402" s="40" customFormat="1" ht="18.5" thickBot="1" x14ac:dyDescent="0.45"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U38" s="1" t="s">
        <v>2</v>
      </c>
      <c r="GZ38" s="41"/>
      <c r="HA38" s="41"/>
      <c r="HB38" s="41"/>
      <c r="HC38" s="41"/>
      <c r="HD38" s="41"/>
      <c r="HE38" s="41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</row>
    <row r="39" spans="1:402" x14ac:dyDescent="0.35">
      <c r="B39" s="179">
        <v>2007</v>
      </c>
      <c r="C39" s="179"/>
      <c r="D39" s="179"/>
      <c r="E39" s="180"/>
      <c r="F39" s="181">
        <v>2008</v>
      </c>
      <c r="G39" s="182"/>
      <c r="H39" s="182"/>
      <c r="I39" s="182"/>
      <c r="J39" s="182"/>
      <c r="K39" s="182"/>
      <c r="L39" s="17"/>
      <c r="M39" s="17"/>
      <c r="N39" s="17"/>
      <c r="O39" s="17"/>
      <c r="P39" s="17"/>
      <c r="Q39" s="17"/>
      <c r="R39" s="19">
        <v>2009</v>
      </c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9">
        <v>2010</v>
      </c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>
        <v>2011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9">
        <v>2012</v>
      </c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9">
        <v>2013</v>
      </c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>
        <v>2014</v>
      </c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>
        <v>2015</v>
      </c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9">
        <v>2016</v>
      </c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9">
        <v>2017</v>
      </c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>
        <v>2018</v>
      </c>
      <c r="DW39" s="19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9">
        <v>2019</v>
      </c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9">
        <v>2020</v>
      </c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9">
        <v>2021</v>
      </c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>
        <v>2022</v>
      </c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>
        <v>2023</v>
      </c>
      <c r="GE39" s="19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9">
        <v>2024</v>
      </c>
      <c r="GQ39" s="19"/>
      <c r="GR39" s="183"/>
      <c r="GS39" s="13"/>
      <c r="GV39" s="13">
        <v>2007</v>
      </c>
      <c r="GW39" s="13"/>
      <c r="GX39" s="13"/>
      <c r="GY39" s="14"/>
      <c r="GZ39" s="15">
        <v>2008</v>
      </c>
      <c r="HA39" s="16"/>
      <c r="HB39" s="17"/>
      <c r="HC39" s="16"/>
      <c r="HD39" s="16"/>
      <c r="HE39" s="16"/>
      <c r="HF39" s="18"/>
      <c r="HG39" s="18"/>
      <c r="HH39" s="18"/>
      <c r="HI39" s="18"/>
      <c r="HJ39" s="18"/>
      <c r="HK39" s="18"/>
      <c r="HL39" s="19">
        <v>2009</v>
      </c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>
        <v>2010</v>
      </c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>
        <v>2011</v>
      </c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>
        <v>2012</v>
      </c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>
        <v>2013</v>
      </c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>
        <v>2014</v>
      </c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>
        <v>2015</v>
      </c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>
        <v>2016</v>
      </c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>
        <v>2017</v>
      </c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>
        <v>2018</v>
      </c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>
        <v>2019</v>
      </c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>
        <v>2020</v>
      </c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>
        <v>2021</v>
      </c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>
        <v>2022</v>
      </c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>
        <v>2023</v>
      </c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>
        <v>2024</v>
      </c>
      <c r="OK39" s="19"/>
      <c r="OL39" s="19"/>
    </row>
    <row r="40" spans="1:402" x14ac:dyDescent="0.35">
      <c r="B40" s="20" t="s">
        <v>3</v>
      </c>
      <c r="C40" s="20" t="s">
        <v>4</v>
      </c>
      <c r="D40" s="20" t="s">
        <v>5</v>
      </c>
      <c r="E40" s="20" t="s">
        <v>6</v>
      </c>
      <c r="F40" s="20" t="s">
        <v>7</v>
      </c>
      <c r="G40" s="20" t="s">
        <v>8</v>
      </c>
      <c r="H40" s="20" t="s">
        <v>9</v>
      </c>
      <c r="I40" s="20" t="s">
        <v>10</v>
      </c>
      <c r="J40" s="20" t="s">
        <v>11</v>
      </c>
      <c r="K40" s="20" t="s">
        <v>12</v>
      </c>
      <c r="L40" s="20" t="s">
        <v>13</v>
      </c>
      <c r="M40" s="20" t="s">
        <v>14</v>
      </c>
      <c r="N40" s="20" t="s">
        <v>3</v>
      </c>
      <c r="O40" s="20" t="s">
        <v>4</v>
      </c>
      <c r="P40" s="20" t="s">
        <v>5</v>
      </c>
      <c r="Q40" s="20" t="s">
        <v>15</v>
      </c>
      <c r="R40" s="22" t="s">
        <v>7</v>
      </c>
      <c r="S40" s="22" t="s">
        <v>8</v>
      </c>
      <c r="T40" s="22" t="s">
        <v>9</v>
      </c>
      <c r="U40" s="22" t="s">
        <v>10</v>
      </c>
      <c r="V40" s="22" t="s">
        <v>11</v>
      </c>
      <c r="W40" s="22" t="s">
        <v>12</v>
      </c>
      <c r="X40" s="22" t="s">
        <v>13</v>
      </c>
      <c r="Y40" s="22" t="s">
        <v>14</v>
      </c>
      <c r="Z40" s="22" t="s">
        <v>16</v>
      </c>
      <c r="AA40" s="22" t="s">
        <v>4</v>
      </c>
      <c r="AB40" s="22" t="s">
        <v>5</v>
      </c>
      <c r="AC40" s="22" t="s">
        <v>6</v>
      </c>
      <c r="AD40" s="22" t="s">
        <v>17</v>
      </c>
      <c r="AE40" s="22" t="s">
        <v>8</v>
      </c>
      <c r="AF40" s="22" t="s">
        <v>18</v>
      </c>
      <c r="AG40" s="22" t="s">
        <v>10</v>
      </c>
      <c r="AH40" s="22" t="s">
        <v>11</v>
      </c>
      <c r="AI40" s="22" t="s">
        <v>12</v>
      </c>
      <c r="AJ40" s="22" t="s">
        <v>13</v>
      </c>
      <c r="AK40" s="22" t="s">
        <v>14</v>
      </c>
      <c r="AL40" s="22" t="s">
        <v>16</v>
      </c>
      <c r="AM40" s="22" t="s">
        <v>19</v>
      </c>
      <c r="AN40" s="22" t="s">
        <v>5</v>
      </c>
      <c r="AO40" s="22" t="s">
        <v>6</v>
      </c>
      <c r="AP40" s="22" t="s">
        <v>7</v>
      </c>
      <c r="AQ40" s="22" t="s">
        <v>8</v>
      </c>
      <c r="AR40" s="22" t="s">
        <v>9</v>
      </c>
      <c r="AS40" s="22" t="s">
        <v>10</v>
      </c>
      <c r="AT40" s="22" t="s">
        <v>11</v>
      </c>
      <c r="AU40" s="22" t="s">
        <v>12</v>
      </c>
      <c r="AV40" s="22" t="s">
        <v>13</v>
      </c>
      <c r="AW40" s="22" t="s">
        <v>14</v>
      </c>
      <c r="AX40" s="22" t="s">
        <v>3</v>
      </c>
      <c r="AY40" s="22" t="s">
        <v>4</v>
      </c>
      <c r="AZ40" s="22" t="s">
        <v>5</v>
      </c>
      <c r="BA40" s="22" t="s">
        <v>15</v>
      </c>
      <c r="BB40" s="22" t="s">
        <v>7</v>
      </c>
      <c r="BC40" s="22" t="s">
        <v>8</v>
      </c>
      <c r="BD40" s="22" t="s">
        <v>18</v>
      </c>
      <c r="BE40" s="22" t="s">
        <v>10</v>
      </c>
      <c r="BF40" s="22" t="s">
        <v>11</v>
      </c>
      <c r="BG40" s="22" t="s">
        <v>12</v>
      </c>
      <c r="BH40" s="22" t="s">
        <v>20</v>
      </c>
      <c r="BI40" s="22" t="s">
        <v>21</v>
      </c>
      <c r="BJ40" s="22" t="s">
        <v>16</v>
      </c>
      <c r="BK40" s="22" t="s">
        <v>19</v>
      </c>
      <c r="BL40" s="22" t="s">
        <v>5</v>
      </c>
      <c r="BM40" s="22" t="s">
        <v>15</v>
      </c>
      <c r="BN40" s="22" t="s">
        <v>7</v>
      </c>
      <c r="BO40" s="22" t="s">
        <v>8</v>
      </c>
      <c r="BP40" s="22" t="s">
        <v>9</v>
      </c>
      <c r="BQ40" s="22" t="s">
        <v>10</v>
      </c>
      <c r="BR40" s="22" t="s">
        <v>11</v>
      </c>
      <c r="BS40" s="22" t="s">
        <v>12</v>
      </c>
      <c r="BT40" s="22" t="s">
        <v>20</v>
      </c>
      <c r="BU40" s="22" t="s">
        <v>21</v>
      </c>
      <c r="BV40" s="22" t="s">
        <v>22</v>
      </c>
      <c r="BW40" s="22" t="s">
        <v>4</v>
      </c>
      <c r="BX40" s="22" t="s">
        <v>5</v>
      </c>
      <c r="BY40" s="22" t="s">
        <v>6</v>
      </c>
      <c r="BZ40" s="22" t="s">
        <v>17</v>
      </c>
      <c r="CA40" s="22" t="s">
        <v>23</v>
      </c>
      <c r="CB40" s="22" t="s">
        <v>18</v>
      </c>
      <c r="CC40" s="22" t="s">
        <v>24</v>
      </c>
      <c r="CD40" s="22" t="s">
        <v>11</v>
      </c>
      <c r="CE40" s="22" t="s">
        <v>12</v>
      </c>
      <c r="CF40" s="22" t="s">
        <v>13</v>
      </c>
      <c r="CG40" s="22" t="s">
        <v>14</v>
      </c>
      <c r="CH40" s="22" t="s">
        <v>16</v>
      </c>
      <c r="CI40" s="22" t="s">
        <v>4</v>
      </c>
      <c r="CJ40" s="22" t="s">
        <v>5</v>
      </c>
      <c r="CK40" s="22" t="s">
        <v>6</v>
      </c>
      <c r="CL40" s="22" t="s">
        <v>7</v>
      </c>
      <c r="CM40" s="22" t="s">
        <v>8</v>
      </c>
      <c r="CN40" s="22" t="s">
        <v>18</v>
      </c>
      <c r="CO40" s="22" t="s">
        <v>10</v>
      </c>
      <c r="CP40" s="22" t="s">
        <v>11</v>
      </c>
      <c r="CQ40" s="22" t="s">
        <v>12</v>
      </c>
      <c r="CR40" s="22" t="s">
        <v>20</v>
      </c>
      <c r="CS40" s="22" t="s">
        <v>14</v>
      </c>
      <c r="CT40" s="22" t="s">
        <v>22</v>
      </c>
      <c r="CU40" s="22" t="s">
        <v>19</v>
      </c>
      <c r="CV40" s="22" t="s">
        <v>5</v>
      </c>
      <c r="CW40" s="22" t="s">
        <v>15</v>
      </c>
      <c r="CX40" s="22" t="s">
        <v>7</v>
      </c>
      <c r="CY40" s="22" t="s">
        <v>23</v>
      </c>
      <c r="CZ40" s="22" t="s">
        <v>18</v>
      </c>
      <c r="DA40" s="22" t="s">
        <v>24</v>
      </c>
      <c r="DB40" s="22" t="s">
        <v>11</v>
      </c>
      <c r="DC40" s="22" t="s">
        <v>12</v>
      </c>
      <c r="DD40" s="22" t="s">
        <v>13</v>
      </c>
      <c r="DE40" s="22" t="s">
        <v>14</v>
      </c>
      <c r="DF40" s="22" t="s">
        <v>16</v>
      </c>
      <c r="DG40" s="22" t="s">
        <v>4</v>
      </c>
      <c r="DH40" s="22" t="s">
        <v>5</v>
      </c>
      <c r="DI40" s="22" t="s">
        <v>15</v>
      </c>
      <c r="DJ40" s="22" t="s">
        <v>7</v>
      </c>
      <c r="DK40" s="22" t="s">
        <v>8</v>
      </c>
      <c r="DL40" s="22" t="s">
        <v>18</v>
      </c>
      <c r="DM40" s="22" t="s">
        <v>24</v>
      </c>
      <c r="DN40" s="22" t="s">
        <v>11</v>
      </c>
      <c r="DO40" s="22" t="s">
        <v>12</v>
      </c>
      <c r="DP40" s="22" t="s">
        <v>20</v>
      </c>
      <c r="DQ40" s="22" t="s">
        <v>14</v>
      </c>
      <c r="DR40" s="22" t="s">
        <v>22</v>
      </c>
      <c r="DS40" s="22" t="s">
        <v>19</v>
      </c>
      <c r="DT40" s="22" t="s">
        <v>5</v>
      </c>
      <c r="DU40" s="22" t="s">
        <v>15</v>
      </c>
      <c r="DV40" s="22" t="s">
        <v>7</v>
      </c>
      <c r="DW40" s="22" t="s">
        <v>8</v>
      </c>
      <c r="DX40" s="22" t="s">
        <v>18</v>
      </c>
      <c r="DY40" s="22" t="s">
        <v>24</v>
      </c>
      <c r="DZ40" s="22" t="s">
        <v>11</v>
      </c>
      <c r="EA40" s="22" t="s">
        <v>12</v>
      </c>
      <c r="EB40" s="22" t="s">
        <v>20</v>
      </c>
      <c r="EC40" s="22" t="s">
        <v>21</v>
      </c>
      <c r="ED40" s="22" t="s">
        <v>22</v>
      </c>
      <c r="EE40" s="22" t="s">
        <v>4</v>
      </c>
      <c r="EF40" s="22" t="s">
        <v>5</v>
      </c>
      <c r="EG40" s="22" t="s">
        <v>15</v>
      </c>
      <c r="EH40" s="22" t="s">
        <v>17</v>
      </c>
      <c r="EI40" s="22" t="s">
        <v>23</v>
      </c>
      <c r="EJ40" s="22" t="s">
        <v>18</v>
      </c>
      <c r="EK40" s="22" t="s">
        <v>24</v>
      </c>
      <c r="EL40" s="22" t="s">
        <v>11</v>
      </c>
      <c r="EM40" s="22" t="s">
        <v>12</v>
      </c>
      <c r="EN40" s="22" t="s">
        <v>20</v>
      </c>
      <c r="EO40" s="22" t="s">
        <v>21</v>
      </c>
      <c r="EP40" s="22" t="s">
        <v>22</v>
      </c>
      <c r="EQ40" s="22" t="s">
        <v>4</v>
      </c>
      <c r="ER40" s="22" t="s">
        <v>5</v>
      </c>
      <c r="ES40" s="22" t="s">
        <v>6</v>
      </c>
      <c r="ET40" s="22" t="s">
        <v>17</v>
      </c>
      <c r="EU40" s="22" t="s">
        <v>8</v>
      </c>
      <c r="EV40" s="22" t="s">
        <v>18</v>
      </c>
      <c r="EW40" s="22" t="s">
        <v>24</v>
      </c>
      <c r="EX40" s="22" t="s">
        <v>11</v>
      </c>
      <c r="EY40" s="22" t="s">
        <v>12</v>
      </c>
      <c r="EZ40" s="22" t="s">
        <v>20</v>
      </c>
      <c r="FA40" s="22" t="s">
        <v>14</v>
      </c>
      <c r="FB40" s="22" t="s">
        <v>22</v>
      </c>
      <c r="FC40" s="22" t="s">
        <v>4</v>
      </c>
      <c r="FD40" s="22" t="s">
        <v>5</v>
      </c>
      <c r="FE40" s="22" t="s">
        <v>6</v>
      </c>
      <c r="FF40" s="22" t="s">
        <v>7</v>
      </c>
      <c r="FG40" s="22" t="s">
        <v>8</v>
      </c>
      <c r="FH40" s="22" t="s">
        <v>9</v>
      </c>
      <c r="FI40" s="22" t="s">
        <v>24</v>
      </c>
      <c r="FJ40" s="22" t="s">
        <v>11</v>
      </c>
      <c r="FK40" s="22" t="s">
        <v>12</v>
      </c>
      <c r="FL40" s="22" t="s">
        <v>20</v>
      </c>
      <c r="FM40" s="22" t="s">
        <v>14</v>
      </c>
      <c r="FN40" s="22" t="s">
        <v>22</v>
      </c>
      <c r="FO40" s="22" t="s">
        <v>19</v>
      </c>
      <c r="FP40" s="22" t="s">
        <v>27</v>
      </c>
      <c r="FQ40" s="22" t="s">
        <v>15</v>
      </c>
      <c r="FR40" s="22" t="s">
        <v>7</v>
      </c>
      <c r="FS40" s="22" t="s">
        <v>8</v>
      </c>
      <c r="FT40" s="22" t="s">
        <v>9</v>
      </c>
      <c r="FU40" s="22" t="s">
        <v>10</v>
      </c>
      <c r="FV40" s="22" t="s">
        <v>11</v>
      </c>
      <c r="FW40" s="22" t="s">
        <v>12</v>
      </c>
      <c r="FX40" s="22" t="s">
        <v>20</v>
      </c>
      <c r="FY40" s="22" t="s">
        <v>14</v>
      </c>
      <c r="FZ40" s="22" t="s">
        <v>16</v>
      </c>
      <c r="GA40" s="22" t="s">
        <v>19</v>
      </c>
      <c r="GB40" s="22" t="s">
        <v>5</v>
      </c>
      <c r="GC40" s="22" t="s">
        <v>6</v>
      </c>
      <c r="GD40" s="22" t="s">
        <v>7</v>
      </c>
      <c r="GE40" s="22" t="s">
        <v>8</v>
      </c>
      <c r="GF40" s="22" t="s">
        <v>18</v>
      </c>
      <c r="GG40" s="22" t="s">
        <v>24</v>
      </c>
      <c r="GH40" s="22" t="s">
        <v>11</v>
      </c>
      <c r="GI40" s="22" t="s">
        <v>12</v>
      </c>
      <c r="GJ40" s="22" t="s">
        <v>13</v>
      </c>
      <c r="GK40" s="22" t="s">
        <v>14</v>
      </c>
      <c r="GL40" s="22" t="s">
        <v>22</v>
      </c>
      <c r="GM40" s="22" t="s">
        <v>4</v>
      </c>
      <c r="GN40" s="22" t="s">
        <v>5</v>
      </c>
      <c r="GO40" s="22" t="s">
        <v>6</v>
      </c>
      <c r="GP40" s="22" t="s">
        <v>7</v>
      </c>
      <c r="GQ40" s="22" t="s">
        <v>8</v>
      </c>
      <c r="GR40" s="22" t="s">
        <v>18</v>
      </c>
      <c r="GS40" s="22" t="s">
        <v>25</v>
      </c>
      <c r="GT40" s="2"/>
      <c r="GU40" s="2"/>
      <c r="GV40" s="20" t="s">
        <v>3</v>
      </c>
      <c r="GW40" s="21" t="s">
        <v>4</v>
      </c>
      <c r="GX40" s="20" t="s">
        <v>5</v>
      </c>
      <c r="GY40" s="20" t="s">
        <v>6</v>
      </c>
      <c r="GZ40" s="20" t="s">
        <v>7</v>
      </c>
      <c r="HA40" s="20" t="s">
        <v>8</v>
      </c>
      <c r="HB40" s="20" t="s">
        <v>9</v>
      </c>
      <c r="HC40" s="20" t="s">
        <v>10</v>
      </c>
      <c r="HD40" s="20" t="s">
        <v>11</v>
      </c>
      <c r="HE40" s="20" t="s">
        <v>12</v>
      </c>
      <c r="HF40" s="20" t="s">
        <v>13</v>
      </c>
      <c r="HG40" s="20" t="s">
        <v>14</v>
      </c>
      <c r="HH40" s="20" t="s">
        <v>3</v>
      </c>
      <c r="HI40" s="20" t="s">
        <v>4</v>
      </c>
      <c r="HJ40" s="20" t="s">
        <v>5</v>
      </c>
      <c r="HK40" s="20" t="s">
        <v>15</v>
      </c>
      <c r="HL40" s="22" t="s">
        <v>7</v>
      </c>
      <c r="HM40" s="22" t="s">
        <v>8</v>
      </c>
      <c r="HN40" s="22" t="s">
        <v>9</v>
      </c>
      <c r="HO40" s="22" t="s">
        <v>10</v>
      </c>
      <c r="HP40" s="22" t="s">
        <v>11</v>
      </c>
      <c r="HQ40" s="22" t="s">
        <v>12</v>
      </c>
      <c r="HR40" s="22" t="s">
        <v>13</v>
      </c>
      <c r="HS40" s="22" t="s">
        <v>14</v>
      </c>
      <c r="HT40" s="22" t="s">
        <v>16</v>
      </c>
      <c r="HU40" s="22" t="s">
        <v>4</v>
      </c>
      <c r="HV40" s="22" t="s">
        <v>5</v>
      </c>
      <c r="HW40" s="22" t="s">
        <v>6</v>
      </c>
      <c r="HX40" s="22" t="s">
        <v>17</v>
      </c>
      <c r="HY40" s="22" t="s">
        <v>8</v>
      </c>
      <c r="HZ40" s="22" t="s">
        <v>18</v>
      </c>
      <c r="IA40" s="22" t="s">
        <v>10</v>
      </c>
      <c r="IB40" s="22" t="s">
        <v>11</v>
      </c>
      <c r="IC40" s="22" t="s">
        <v>12</v>
      </c>
      <c r="ID40" s="22" t="s">
        <v>13</v>
      </c>
      <c r="IE40" s="22" t="s">
        <v>26</v>
      </c>
      <c r="IF40" s="22" t="s">
        <v>16</v>
      </c>
      <c r="IG40" s="22" t="s">
        <v>4</v>
      </c>
      <c r="IH40" s="22" t="s">
        <v>5</v>
      </c>
      <c r="II40" s="22" t="s">
        <v>6</v>
      </c>
      <c r="IJ40" s="22" t="s">
        <v>7</v>
      </c>
      <c r="IK40" s="22" t="s">
        <v>8</v>
      </c>
      <c r="IL40" s="22" t="s">
        <v>18</v>
      </c>
      <c r="IM40" s="22" t="s">
        <v>10</v>
      </c>
      <c r="IN40" s="22" t="s">
        <v>11</v>
      </c>
      <c r="IO40" s="22" t="s">
        <v>12</v>
      </c>
      <c r="IP40" s="22" t="s">
        <v>13</v>
      </c>
      <c r="IQ40" s="22" t="s">
        <v>14</v>
      </c>
      <c r="IR40" s="22" t="s">
        <v>3</v>
      </c>
      <c r="IS40" s="22" t="s">
        <v>4</v>
      </c>
      <c r="IT40" s="22" t="s">
        <v>5</v>
      </c>
      <c r="IU40" s="22" t="s">
        <v>15</v>
      </c>
      <c r="IV40" s="22" t="s">
        <v>7</v>
      </c>
      <c r="IW40" s="22" t="s">
        <v>8</v>
      </c>
      <c r="IX40" s="22" t="s">
        <v>18</v>
      </c>
      <c r="IY40" s="22" t="s">
        <v>10</v>
      </c>
      <c r="IZ40" s="22" t="s">
        <v>11</v>
      </c>
      <c r="JA40" s="22" t="s">
        <v>12</v>
      </c>
      <c r="JB40" s="22" t="s">
        <v>20</v>
      </c>
      <c r="JC40" s="22" t="s">
        <v>21</v>
      </c>
      <c r="JD40" s="22" t="s">
        <v>16</v>
      </c>
      <c r="JE40" s="22" t="s">
        <v>4</v>
      </c>
      <c r="JF40" s="22" t="s">
        <v>5</v>
      </c>
      <c r="JG40" s="22" t="s">
        <v>6</v>
      </c>
      <c r="JH40" s="22" t="s">
        <v>7</v>
      </c>
      <c r="JI40" s="22" t="s">
        <v>8</v>
      </c>
      <c r="JJ40" s="22" t="s">
        <v>9</v>
      </c>
      <c r="JK40" s="22" t="s">
        <v>10</v>
      </c>
      <c r="JL40" s="22" t="s">
        <v>11</v>
      </c>
      <c r="JM40" s="22" t="s">
        <v>12</v>
      </c>
      <c r="JN40" s="22" t="s">
        <v>20</v>
      </c>
      <c r="JO40" s="22" t="s">
        <v>21</v>
      </c>
      <c r="JP40" s="22" t="s">
        <v>22</v>
      </c>
      <c r="JQ40" s="22" t="s">
        <v>4</v>
      </c>
      <c r="JR40" s="22" t="s">
        <v>5</v>
      </c>
      <c r="JS40" s="22" t="s">
        <v>6</v>
      </c>
      <c r="JT40" s="22" t="s">
        <v>17</v>
      </c>
      <c r="JU40" s="22" t="s">
        <v>23</v>
      </c>
      <c r="JV40" s="22" t="s">
        <v>18</v>
      </c>
      <c r="JW40" s="22" t="s">
        <v>24</v>
      </c>
      <c r="JX40" s="22" t="s">
        <v>11</v>
      </c>
      <c r="JY40" s="22" t="s">
        <v>12</v>
      </c>
      <c r="JZ40" s="22" t="s">
        <v>13</v>
      </c>
      <c r="KA40" s="22" t="s">
        <v>14</v>
      </c>
      <c r="KB40" s="22" t="s">
        <v>22</v>
      </c>
      <c r="KC40" s="22" t="s">
        <v>4</v>
      </c>
      <c r="KD40" s="22" t="s">
        <v>5</v>
      </c>
      <c r="KE40" s="22" t="s">
        <v>6</v>
      </c>
      <c r="KF40" s="22" t="s">
        <v>17</v>
      </c>
      <c r="KG40" s="22" t="s">
        <v>8</v>
      </c>
      <c r="KH40" s="22" t="s">
        <v>18</v>
      </c>
      <c r="KI40" s="22" t="s">
        <v>10</v>
      </c>
      <c r="KJ40" s="22" t="s">
        <v>11</v>
      </c>
      <c r="KK40" s="22" t="s">
        <v>12</v>
      </c>
      <c r="KL40" s="22" t="s">
        <v>20</v>
      </c>
      <c r="KM40" s="22" t="s">
        <v>21</v>
      </c>
      <c r="KN40" s="22" t="s">
        <v>16</v>
      </c>
      <c r="KO40" s="22" t="s">
        <v>19</v>
      </c>
      <c r="KP40" s="22" t="s">
        <v>5</v>
      </c>
      <c r="KQ40" s="22" t="s">
        <v>6</v>
      </c>
      <c r="KR40" s="22" t="s">
        <v>7</v>
      </c>
      <c r="KS40" s="22" t="s">
        <v>8</v>
      </c>
      <c r="KT40" s="22" t="s">
        <v>18</v>
      </c>
      <c r="KU40" s="22" t="s">
        <v>24</v>
      </c>
      <c r="KV40" s="22" t="s">
        <v>11</v>
      </c>
      <c r="KW40" s="22" t="s">
        <v>12</v>
      </c>
      <c r="KX40" s="22" t="s">
        <v>20</v>
      </c>
      <c r="KY40" s="22" t="s">
        <v>14</v>
      </c>
      <c r="KZ40" s="22" t="s">
        <v>16</v>
      </c>
      <c r="LA40" s="22" t="s">
        <v>4</v>
      </c>
      <c r="LB40" s="22" t="s">
        <v>27</v>
      </c>
      <c r="LC40" s="22" t="s">
        <v>6</v>
      </c>
      <c r="LD40" s="22" t="s">
        <v>7</v>
      </c>
      <c r="LE40" s="22" t="s">
        <v>8</v>
      </c>
      <c r="LF40" s="22" t="s">
        <v>9</v>
      </c>
      <c r="LG40" s="22" t="s">
        <v>24</v>
      </c>
      <c r="LH40" s="22" t="s">
        <v>11</v>
      </c>
      <c r="LI40" s="22" t="s">
        <v>12</v>
      </c>
      <c r="LJ40" s="22" t="s">
        <v>20</v>
      </c>
      <c r="LK40" s="22" t="s">
        <v>14</v>
      </c>
      <c r="LL40" s="22" t="s">
        <v>22</v>
      </c>
      <c r="LM40" s="22" t="s">
        <v>19</v>
      </c>
      <c r="LN40" s="22" t="s">
        <v>5</v>
      </c>
      <c r="LO40" s="22" t="s">
        <v>15</v>
      </c>
      <c r="LP40" s="22" t="s">
        <v>7</v>
      </c>
      <c r="LQ40" s="22" t="s">
        <v>8</v>
      </c>
      <c r="LR40" s="22" t="s">
        <v>18</v>
      </c>
      <c r="LS40" s="22" t="s">
        <v>10</v>
      </c>
      <c r="LT40" s="22" t="s">
        <v>11</v>
      </c>
      <c r="LU40" s="22" t="s">
        <v>12</v>
      </c>
      <c r="LV40" s="22" t="s">
        <v>13</v>
      </c>
      <c r="LW40" s="22" t="s">
        <v>14</v>
      </c>
      <c r="LX40" s="22" t="s">
        <v>22</v>
      </c>
      <c r="LY40" s="22" t="s">
        <v>4</v>
      </c>
      <c r="LZ40" s="22" t="s">
        <v>5</v>
      </c>
      <c r="MA40" s="22" t="s">
        <v>6</v>
      </c>
      <c r="MB40" s="22" t="s">
        <v>17</v>
      </c>
      <c r="MC40" s="22" t="s">
        <v>8</v>
      </c>
      <c r="MD40" s="22" t="s">
        <v>18</v>
      </c>
      <c r="ME40" s="22" t="s">
        <v>24</v>
      </c>
      <c r="MF40" s="22" t="s">
        <v>11</v>
      </c>
      <c r="MG40" s="22" t="s">
        <v>101</v>
      </c>
      <c r="MH40" s="22" t="s">
        <v>20</v>
      </c>
      <c r="MI40" s="22" t="s">
        <v>14</v>
      </c>
      <c r="MJ40" s="22" t="s">
        <v>22</v>
      </c>
      <c r="MK40" s="22" t="s">
        <v>4</v>
      </c>
      <c r="ML40" s="22" t="s">
        <v>5</v>
      </c>
      <c r="MM40" s="22" t="s">
        <v>6</v>
      </c>
      <c r="MN40" s="22" t="s">
        <v>17</v>
      </c>
      <c r="MO40" s="22" t="s">
        <v>8</v>
      </c>
      <c r="MP40" s="22" t="s">
        <v>18</v>
      </c>
      <c r="MQ40" s="22" t="s">
        <v>24</v>
      </c>
      <c r="MR40" s="22" t="s">
        <v>11</v>
      </c>
      <c r="MS40" s="22" t="s">
        <v>12</v>
      </c>
      <c r="MT40" s="22" t="s">
        <v>20</v>
      </c>
      <c r="MU40" s="22" t="s">
        <v>14</v>
      </c>
      <c r="MV40" s="22" t="s">
        <v>22</v>
      </c>
      <c r="MW40" s="22" t="s">
        <v>4</v>
      </c>
      <c r="MX40" s="22" t="s">
        <v>5</v>
      </c>
      <c r="MY40" s="22" t="s">
        <v>6</v>
      </c>
      <c r="MZ40" s="22" t="s">
        <v>7</v>
      </c>
      <c r="NA40" s="22" t="s">
        <v>8</v>
      </c>
      <c r="NB40" s="22" t="s">
        <v>18</v>
      </c>
      <c r="NC40" s="22" t="s">
        <v>24</v>
      </c>
      <c r="ND40" s="22" t="s">
        <v>11</v>
      </c>
      <c r="NE40" s="22" t="s">
        <v>12</v>
      </c>
      <c r="NF40" s="22" t="s">
        <v>20</v>
      </c>
      <c r="NG40" s="22" t="s">
        <v>14</v>
      </c>
      <c r="NH40" s="22" t="s">
        <v>22</v>
      </c>
      <c r="NI40" s="22" t="s">
        <v>19</v>
      </c>
      <c r="NJ40" s="22" t="s">
        <v>27</v>
      </c>
      <c r="NK40" s="22" t="s">
        <v>6</v>
      </c>
      <c r="NL40" s="22" t="s">
        <v>7</v>
      </c>
      <c r="NM40" s="22" t="s">
        <v>8</v>
      </c>
      <c r="NN40" s="22" t="s">
        <v>9</v>
      </c>
      <c r="NO40" s="22" t="s">
        <v>10</v>
      </c>
      <c r="NP40" s="22" t="s">
        <v>11</v>
      </c>
      <c r="NQ40" s="22" t="s">
        <v>12</v>
      </c>
      <c r="NR40" s="22" t="s">
        <v>20</v>
      </c>
      <c r="NS40" s="22" t="s">
        <v>14</v>
      </c>
      <c r="NT40" s="22" t="s">
        <v>16</v>
      </c>
      <c r="NU40" s="22" t="s">
        <v>19</v>
      </c>
      <c r="NV40" s="22" t="s">
        <v>5</v>
      </c>
      <c r="NW40" s="22" t="s">
        <v>6</v>
      </c>
      <c r="NX40" s="22" t="s">
        <v>7</v>
      </c>
      <c r="NY40" s="22" t="s">
        <v>8</v>
      </c>
      <c r="NZ40" s="22" t="s">
        <v>18</v>
      </c>
      <c r="OA40" s="22" t="s">
        <v>24</v>
      </c>
      <c r="OB40" s="22" t="s">
        <v>11</v>
      </c>
      <c r="OC40" s="22" t="s">
        <v>12</v>
      </c>
      <c r="OD40" s="22" t="s">
        <v>13</v>
      </c>
      <c r="OE40" s="22" t="s">
        <v>14</v>
      </c>
      <c r="OF40" s="22" t="s">
        <v>16</v>
      </c>
      <c r="OG40" s="22" t="s">
        <v>4</v>
      </c>
      <c r="OH40" s="22" t="s">
        <v>5</v>
      </c>
      <c r="OI40" s="22" t="s">
        <v>15</v>
      </c>
      <c r="OJ40" s="22" t="s">
        <v>7</v>
      </c>
      <c r="OK40" s="22" t="s">
        <v>8</v>
      </c>
      <c r="OL40" s="22" t="s">
        <v>18</v>
      </c>
    </row>
    <row r="41" spans="1:402" s="145" customFormat="1" ht="19.5" customHeight="1" x14ac:dyDescent="0.35">
      <c r="A41" s="12" t="s">
        <v>29</v>
      </c>
      <c r="B41" s="156">
        <v>610</v>
      </c>
      <c r="C41" s="156">
        <v>630</v>
      </c>
      <c r="D41" s="156">
        <v>621</v>
      </c>
      <c r="E41" s="156">
        <v>560</v>
      </c>
      <c r="F41" s="156">
        <f>'[1]Jan 08'!C13</f>
        <v>635</v>
      </c>
      <c r="G41" s="143">
        <f>'[1]Feb 08'!C13</f>
        <v>636</v>
      </c>
      <c r="H41" s="143">
        <f>'[1]Mar 08'!C13</f>
        <v>637</v>
      </c>
      <c r="I41" s="143">
        <v>628</v>
      </c>
      <c r="J41" s="143">
        <f>'[1]May 08'!C13</f>
        <v>614</v>
      </c>
      <c r="K41" s="143">
        <f>'[1]Jun 08'!C13</f>
        <v>577</v>
      </c>
      <c r="L41" s="143">
        <f>'[1]Jul 08'!C13</f>
        <v>543</v>
      </c>
      <c r="M41" s="143">
        <f>'[1]Aug 08'!C13</f>
        <v>531</v>
      </c>
      <c r="N41" s="143">
        <v>548</v>
      </c>
      <c r="O41" s="143">
        <v>543</v>
      </c>
      <c r="P41" s="143">
        <v>549</v>
      </c>
      <c r="Q41" s="143">
        <v>518</v>
      </c>
      <c r="R41" s="143">
        <v>555</v>
      </c>
      <c r="S41" s="143">
        <v>569</v>
      </c>
      <c r="T41" s="143">
        <v>548</v>
      </c>
      <c r="U41" s="143">
        <v>497</v>
      </c>
      <c r="V41" s="143">
        <v>429</v>
      </c>
      <c r="W41" s="143">
        <v>396</v>
      </c>
      <c r="X41" s="143">
        <v>378</v>
      </c>
      <c r="Y41" s="143">
        <v>366</v>
      </c>
      <c r="Z41" s="143">
        <v>384</v>
      </c>
      <c r="AA41" s="143">
        <v>389</v>
      </c>
      <c r="AB41" s="143">
        <v>358</v>
      </c>
      <c r="AC41" s="143">
        <v>341</v>
      </c>
      <c r="AD41" s="143">
        <v>366</v>
      </c>
      <c r="AE41" s="143">
        <v>373</v>
      </c>
      <c r="AF41" s="143">
        <v>384</v>
      </c>
      <c r="AG41" s="143">
        <v>350</v>
      </c>
      <c r="AH41" s="143">
        <v>313</v>
      </c>
      <c r="AI41" s="143">
        <v>279</v>
      </c>
      <c r="AJ41" s="143">
        <v>275</v>
      </c>
      <c r="AK41" s="143">
        <v>258</v>
      </c>
      <c r="AL41" s="143">
        <v>258</v>
      </c>
      <c r="AM41" s="143">
        <v>280</v>
      </c>
      <c r="AN41" s="143">
        <v>273</v>
      </c>
      <c r="AO41" s="143">
        <v>269</v>
      </c>
      <c r="AP41" s="143">
        <v>268</v>
      </c>
      <c r="AQ41" s="143">
        <v>254</v>
      </c>
      <c r="AR41" s="143">
        <v>250</v>
      </c>
      <c r="AS41" s="143">
        <v>248</v>
      </c>
      <c r="AT41" s="143">
        <v>219</v>
      </c>
      <c r="AU41" s="143">
        <v>183</v>
      </c>
      <c r="AV41" s="143">
        <v>183</v>
      </c>
      <c r="AW41" s="143">
        <v>180</v>
      </c>
      <c r="AX41" s="143">
        <v>189</v>
      </c>
      <c r="AY41" s="143">
        <v>201</v>
      </c>
      <c r="AZ41" s="143">
        <v>203</v>
      </c>
      <c r="BA41" s="143">
        <v>190</v>
      </c>
      <c r="BB41" s="143">
        <v>223</v>
      </c>
      <c r="BC41" s="143">
        <v>216</v>
      </c>
      <c r="BD41" s="143">
        <v>221</v>
      </c>
      <c r="BE41" s="143">
        <v>203</v>
      </c>
      <c r="BF41" s="143">
        <v>173</v>
      </c>
      <c r="BG41" s="143">
        <v>154</v>
      </c>
      <c r="BH41" s="143">
        <v>155</v>
      </c>
      <c r="BI41" s="143">
        <v>156</v>
      </c>
      <c r="BJ41" s="143">
        <v>164</v>
      </c>
      <c r="BK41" s="143">
        <v>164</v>
      </c>
      <c r="BL41" s="143">
        <v>178</v>
      </c>
      <c r="BM41" s="143">
        <v>173</v>
      </c>
      <c r="BN41" s="143">
        <v>213</v>
      </c>
      <c r="BO41" s="143">
        <v>214</v>
      </c>
      <c r="BP41" s="143">
        <v>224</v>
      </c>
      <c r="BQ41" s="143">
        <v>212</v>
      </c>
      <c r="BR41" s="143">
        <v>201</v>
      </c>
      <c r="BS41" s="143">
        <v>167</v>
      </c>
      <c r="BT41" s="143">
        <v>159</v>
      </c>
      <c r="BU41" s="143">
        <v>170</v>
      </c>
      <c r="BV41" s="143">
        <v>191</v>
      </c>
      <c r="BW41" s="143">
        <v>222</v>
      </c>
      <c r="BX41" s="143">
        <v>237</v>
      </c>
      <c r="BY41" s="143">
        <v>239</v>
      </c>
      <c r="BZ41" s="143">
        <v>295</v>
      </c>
      <c r="CA41" s="143">
        <v>289</v>
      </c>
      <c r="CB41" s="143">
        <v>283</v>
      </c>
      <c r="CC41" s="143">
        <v>270</v>
      </c>
      <c r="CD41" s="143">
        <v>252</v>
      </c>
      <c r="CE41" s="143">
        <v>231</v>
      </c>
      <c r="CF41" s="143">
        <v>222</v>
      </c>
      <c r="CG41" s="143">
        <v>231</v>
      </c>
      <c r="CH41" s="143">
        <v>254</v>
      </c>
      <c r="CI41" s="143">
        <v>279</v>
      </c>
      <c r="CJ41" s="143">
        <v>306</v>
      </c>
      <c r="CK41" s="143">
        <v>306</v>
      </c>
      <c r="CL41" s="143">
        <v>339</v>
      </c>
      <c r="CM41" s="143">
        <v>344</v>
      </c>
      <c r="CN41" s="143">
        <v>336</v>
      </c>
      <c r="CO41" s="143">
        <v>321</v>
      </c>
      <c r="CP41" s="143">
        <v>317</v>
      </c>
      <c r="CQ41" s="143">
        <v>252</v>
      </c>
      <c r="CR41" s="143">
        <v>230</v>
      </c>
      <c r="CS41" s="143">
        <v>231</v>
      </c>
      <c r="CT41" s="143">
        <v>253</v>
      </c>
      <c r="CU41" s="143">
        <v>302</v>
      </c>
      <c r="CV41" s="143">
        <v>300</v>
      </c>
      <c r="CW41" s="143">
        <v>298</v>
      </c>
      <c r="CX41" s="143">
        <v>339</v>
      </c>
      <c r="CY41" s="143">
        <v>357</v>
      </c>
      <c r="CZ41" s="143">
        <v>393</v>
      </c>
      <c r="DA41" s="143">
        <v>375</v>
      </c>
      <c r="DB41" s="143">
        <v>331</v>
      </c>
      <c r="DC41" s="143">
        <v>305</v>
      </c>
      <c r="DD41" s="143">
        <v>276</v>
      </c>
      <c r="DE41" s="143">
        <v>273</v>
      </c>
      <c r="DF41" s="143">
        <v>299</v>
      </c>
      <c r="DG41" s="143">
        <v>322</v>
      </c>
      <c r="DH41" s="143">
        <v>331</v>
      </c>
      <c r="DI41" s="143">
        <v>325</v>
      </c>
      <c r="DJ41" s="143">
        <v>355</v>
      </c>
      <c r="DK41" s="143">
        <v>382</v>
      </c>
      <c r="DL41" s="143">
        <v>379</v>
      </c>
      <c r="DM41" s="143">
        <v>370</v>
      </c>
      <c r="DN41" s="143">
        <v>324</v>
      </c>
      <c r="DO41" s="143">
        <v>279</v>
      </c>
      <c r="DP41" s="143">
        <v>246</v>
      </c>
      <c r="DQ41" s="143">
        <v>246</v>
      </c>
      <c r="DR41" s="143">
        <v>237</v>
      </c>
      <c r="DS41" s="143">
        <v>296</v>
      </c>
      <c r="DT41" s="143">
        <v>329</v>
      </c>
      <c r="DU41" s="143">
        <v>319</v>
      </c>
      <c r="DV41" s="143">
        <v>341</v>
      </c>
      <c r="DW41" s="143">
        <v>352</v>
      </c>
      <c r="DX41" s="143">
        <v>343</v>
      </c>
      <c r="DY41" s="143">
        <v>306</v>
      </c>
      <c r="DZ41" s="143">
        <v>282</v>
      </c>
      <c r="EA41" s="143">
        <v>259</v>
      </c>
      <c r="EB41" s="143">
        <v>218</v>
      </c>
      <c r="EC41" s="143">
        <v>228</v>
      </c>
      <c r="ED41" s="143">
        <v>247</v>
      </c>
      <c r="EE41" s="143">
        <v>273</v>
      </c>
      <c r="EF41" s="143">
        <v>284</v>
      </c>
      <c r="EG41" s="143">
        <v>272</v>
      </c>
      <c r="EH41" s="143">
        <v>302</v>
      </c>
      <c r="EI41" s="143">
        <v>300</v>
      </c>
      <c r="EJ41" s="143">
        <v>276</v>
      </c>
      <c r="EK41" s="143">
        <v>269</v>
      </c>
      <c r="EL41" s="143">
        <v>256</v>
      </c>
      <c r="EM41" s="143">
        <v>231</v>
      </c>
      <c r="EN41" s="143">
        <v>198</v>
      </c>
      <c r="EO41" s="143">
        <v>212</v>
      </c>
      <c r="EP41" s="143">
        <v>220</v>
      </c>
      <c r="EQ41" s="143">
        <v>250</v>
      </c>
      <c r="ER41" s="143">
        <v>248</v>
      </c>
      <c r="ES41" s="143">
        <v>232</v>
      </c>
      <c r="ET41" s="143">
        <v>252</v>
      </c>
      <c r="EU41" s="143">
        <v>227</v>
      </c>
      <c r="EV41" s="143">
        <v>238</v>
      </c>
      <c r="EW41" s="143">
        <v>224</v>
      </c>
      <c r="EX41" s="143">
        <v>200</v>
      </c>
      <c r="EY41" s="143">
        <v>169</v>
      </c>
      <c r="EZ41" s="143">
        <v>137</v>
      </c>
      <c r="FA41" s="143">
        <v>140</v>
      </c>
      <c r="FB41" s="143">
        <v>144</v>
      </c>
      <c r="FC41" s="143">
        <v>130</v>
      </c>
      <c r="FD41" s="143">
        <v>114</v>
      </c>
      <c r="FE41" s="143">
        <v>80</v>
      </c>
      <c r="FF41" s="143">
        <v>67</v>
      </c>
      <c r="FG41" s="143">
        <v>50</v>
      </c>
      <c r="FH41" s="143">
        <v>52</v>
      </c>
      <c r="FI41" s="143">
        <v>57</v>
      </c>
      <c r="FJ41" s="143">
        <v>61</v>
      </c>
      <c r="FK41" s="143">
        <v>68</v>
      </c>
      <c r="FL41" s="143">
        <v>86</v>
      </c>
      <c r="FM41" s="143">
        <v>78</v>
      </c>
      <c r="FN41" s="143">
        <v>72</v>
      </c>
      <c r="FO41" s="143">
        <v>70</v>
      </c>
      <c r="FP41" s="143">
        <v>54</v>
      </c>
      <c r="FQ41" s="143">
        <v>54</v>
      </c>
      <c r="FR41" s="143">
        <v>41</v>
      </c>
      <c r="FS41" s="143">
        <v>38</v>
      </c>
      <c r="FT41" s="143">
        <v>57</v>
      </c>
      <c r="FU41" s="143">
        <v>88</v>
      </c>
      <c r="FV41" s="143">
        <v>145</v>
      </c>
      <c r="FW41" s="143">
        <v>195</v>
      </c>
      <c r="FX41" s="143">
        <v>245</v>
      </c>
      <c r="FY41" s="143">
        <v>234</v>
      </c>
      <c r="FZ41" s="143">
        <v>272</v>
      </c>
      <c r="GA41" s="143">
        <v>272</v>
      </c>
      <c r="GB41" s="143">
        <v>263</v>
      </c>
      <c r="GC41" s="143">
        <v>211</v>
      </c>
      <c r="GD41" s="143">
        <v>255</v>
      </c>
      <c r="GE41" s="143">
        <v>218</v>
      </c>
      <c r="GF41" s="143">
        <v>209</v>
      </c>
      <c r="GG41" s="143">
        <v>189</v>
      </c>
      <c r="GH41" s="143">
        <v>168</v>
      </c>
      <c r="GI41" s="143">
        <v>144</v>
      </c>
      <c r="GJ41" s="143">
        <v>134</v>
      </c>
      <c r="GK41" s="143">
        <v>151</v>
      </c>
      <c r="GL41" s="143">
        <v>172</v>
      </c>
      <c r="GM41" s="143">
        <v>215</v>
      </c>
      <c r="GN41" s="143">
        <v>228</v>
      </c>
      <c r="GO41" s="143">
        <v>201</v>
      </c>
      <c r="GP41" s="143">
        <v>231</v>
      </c>
      <c r="GQ41" s="143">
        <v>247</v>
      </c>
      <c r="GR41" s="143">
        <v>248</v>
      </c>
      <c r="GS41" s="143">
        <f>SUM(B41:GR41)/198</f>
        <v>273.67676767676767</v>
      </c>
      <c r="GT41" s="152"/>
      <c r="GU41" s="12" t="s">
        <v>29</v>
      </c>
      <c r="GV41" s="145" t="s">
        <v>30</v>
      </c>
      <c r="GW41" s="145">
        <f t="shared" ref="GW41:IB41" si="50">(C41-B41)/B41</f>
        <v>3.2786885245901641E-2</v>
      </c>
      <c r="GX41" s="145">
        <f t="shared" si="50"/>
        <v>-1.4285714285714285E-2</v>
      </c>
      <c r="GY41" s="145">
        <f t="shared" si="50"/>
        <v>-9.8228663446054756E-2</v>
      </c>
      <c r="GZ41" s="145">
        <f t="shared" si="50"/>
        <v>0.13392857142857142</v>
      </c>
      <c r="HA41" s="145">
        <f t="shared" si="50"/>
        <v>1.5748031496062992E-3</v>
      </c>
      <c r="HB41" s="145">
        <f t="shared" si="50"/>
        <v>1.5723270440251573E-3</v>
      </c>
      <c r="HC41" s="145">
        <f t="shared" si="50"/>
        <v>-1.4128728414442701E-2</v>
      </c>
      <c r="HD41" s="145">
        <f t="shared" si="50"/>
        <v>-2.2292993630573247E-2</v>
      </c>
      <c r="HE41" s="145">
        <f t="shared" si="50"/>
        <v>-6.026058631921824E-2</v>
      </c>
      <c r="HF41" s="145">
        <f t="shared" si="50"/>
        <v>-5.8925476603119586E-2</v>
      </c>
      <c r="HG41" s="145">
        <f t="shared" si="50"/>
        <v>-2.2099447513812154E-2</v>
      </c>
      <c r="HH41" s="145">
        <f t="shared" si="50"/>
        <v>3.2015065913370999E-2</v>
      </c>
      <c r="HI41" s="145">
        <f t="shared" si="50"/>
        <v>-9.1240875912408752E-3</v>
      </c>
      <c r="HJ41" s="145">
        <f t="shared" si="50"/>
        <v>1.1049723756906077E-2</v>
      </c>
      <c r="HK41" s="145">
        <f t="shared" si="50"/>
        <v>-5.6466302367941715E-2</v>
      </c>
      <c r="HL41" s="145">
        <f t="shared" si="50"/>
        <v>7.1428571428571425E-2</v>
      </c>
      <c r="HM41" s="145">
        <f t="shared" si="50"/>
        <v>2.5225225225225224E-2</v>
      </c>
      <c r="HN41" s="145">
        <f t="shared" si="50"/>
        <v>-3.6906854130052721E-2</v>
      </c>
      <c r="HO41" s="145">
        <f t="shared" si="50"/>
        <v>-9.3065693430656932E-2</v>
      </c>
      <c r="HP41" s="145">
        <f t="shared" si="50"/>
        <v>-0.13682092555331993</v>
      </c>
      <c r="HQ41" s="145">
        <f t="shared" si="50"/>
        <v>-7.6923076923076927E-2</v>
      </c>
      <c r="HR41" s="145">
        <f t="shared" si="50"/>
        <v>-4.5454545454545456E-2</v>
      </c>
      <c r="HS41" s="145">
        <f t="shared" si="50"/>
        <v>-3.1746031746031744E-2</v>
      </c>
      <c r="HT41" s="145">
        <f t="shared" si="50"/>
        <v>4.9180327868852458E-2</v>
      </c>
      <c r="HU41" s="145">
        <f t="shared" si="50"/>
        <v>1.3020833333333334E-2</v>
      </c>
      <c r="HV41" s="145">
        <f t="shared" si="50"/>
        <v>-7.9691516709511565E-2</v>
      </c>
      <c r="HW41" s="145">
        <f t="shared" si="50"/>
        <v>-4.7486033519553071E-2</v>
      </c>
      <c r="HX41" s="145">
        <f t="shared" si="50"/>
        <v>7.331378299120235E-2</v>
      </c>
      <c r="HY41" s="145">
        <f t="shared" si="50"/>
        <v>1.912568306010929E-2</v>
      </c>
      <c r="HZ41" s="145">
        <f t="shared" si="50"/>
        <v>2.9490616621983913E-2</v>
      </c>
      <c r="IA41" s="145">
        <f t="shared" si="50"/>
        <v>-8.8541666666666671E-2</v>
      </c>
      <c r="IB41" s="145">
        <f t="shared" si="50"/>
        <v>-0.10571428571428572</v>
      </c>
      <c r="IC41" s="145">
        <f t="shared" ref="IC41:JH41" si="51">(AI41-AH41)/AH41</f>
        <v>-0.10862619808306709</v>
      </c>
      <c r="ID41" s="145">
        <f t="shared" si="51"/>
        <v>-1.4336917562724014E-2</v>
      </c>
      <c r="IE41" s="145">
        <f t="shared" si="51"/>
        <v>-6.1818181818181821E-2</v>
      </c>
      <c r="IF41" s="145">
        <f t="shared" si="51"/>
        <v>0</v>
      </c>
      <c r="IG41" s="145">
        <f t="shared" si="51"/>
        <v>8.5271317829457363E-2</v>
      </c>
      <c r="IH41" s="145">
        <f t="shared" si="51"/>
        <v>-2.5000000000000001E-2</v>
      </c>
      <c r="II41" s="145">
        <f t="shared" si="51"/>
        <v>-1.4652014652014652E-2</v>
      </c>
      <c r="IJ41" s="145">
        <f t="shared" si="51"/>
        <v>-3.7174721189591076E-3</v>
      </c>
      <c r="IK41" s="145">
        <f t="shared" si="51"/>
        <v>-5.2238805970149252E-2</v>
      </c>
      <c r="IL41" s="145">
        <f t="shared" si="51"/>
        <v>-1.5748031496062992E-2</v>
      </c>
      <c r="IM41" s="145">
        <f t="shared" si="51"/>
        <v>-8.0000000000000002E-3</v>
      </c>
      <c r="IN41" s="145">
        <f t="shared" si="51"/>
        <v>-0.11693548387096774</v>
      </c>
      <c r="IO41" s="145">
        <f t="shared" si="51"/>
        <v>-0.16438356164383561</v>
      </c>
      <c r="IP41" s="145">
        <f t="shared" si="51"/>
        <v>0</v>
      </c>
      <c r="IQ41" s="145">
        <f t="shared" si="51"/>
        <v>-1.6393442622950821E-2</v>
      </c>
      <c r="IR41" s="145">
        <f t="shared" si="51"/>
        <v>0.05</v>
      </c>
      <c r="IS41" s="145">
        <f t="shared" si="51"/>
        <v>6.3492063492063489E-2</v>
      </c>
      <c r="IT41" s="145">
        <f t="shared" si="51"/>
        <v>9.9502487562189053E-3</v>
      </c>
      <c r="IU41" s="145">
        <f t="shared" si="51"/>
        <v>-6.4039408866995079E-2</v>
      </c>
      <c r="IV41" s="145">
        <f t="shared" si="51"/>
        <v>0.1736842105263158</v>
      </c>
      <c r="IW41" s="145">
        <f t="shared" si="51"/>
        <v>-3.1390134529147982E-2</v>
      </c>
      <c r="IX41" s="145">
        <f t="shared" si="51"/>
        <v>2.3148148148148147E-2</v>
      </c>
      <c r="IY41" s="145">
        <f t="shared" si="51"/>
        <v>-8.1447963800904979E-2</v>
      </c>
      <c r="IZ41" s="145">
        <f t="shared" si="51"/>
        <v>-0.14778325123152711</v>
      </c>
      <c r="JA41" s="145">
        <f t="shared" si="51"/>
        <v>-0.10982658959537572</v>
      </c>
      <c r="JB41" s="145">
        <f t="shared" si="51"/>
        <v>6.4935064935064939E-3</v>
      </c>
      <c r="JC41" s="145">
        <f t="shared" si="51"/>
        <v>6.4516129032258064E-3</v>
      </c>
      <c r="JD41" s="145">
        <f t="shared" si="51"/>
        <v>5.128205128205128E-2</v>
      </c>
      <c r="JE41" s="145">
        <f t="shared" si="51"/>
        <v>0</v>
      </c>
      <c r="JF41" s="145">
        <f t="shared" si="51"/>
        <v>8.5365853658536592E-2</v>
      </c>
      <c r="JG41" s="145">
        <f t="shared" si="51"/>
        <v>-2.8089887640449437E-2</v>
      </c>
      <c r="JH41" s="145">
        <f t="shared" si="51"/>
        <v>0.23121387283236994</v>
      </c>
      <c r="JI41" s="145">
        <f t="shared" ref="JI41:KN41" si="52">(BO41-BN41)/BN41</f>
        <v>4.6948356807511738E-3</v>
      </c>
      <c r="JJ41" s="145">
        <f t="shared" si="52"/>
        <v>4.6728971962616821E-2</v>
      </c>
      <c r="JK41" s="145">
        <f t="shared" si="52"/>
        <v>-5.3571428571428568E-2</v>
      </c>
      <c r="JL41" s="145">
        <f t="shared" si="52"/>
        <v>-5.1886792452830191E-2</v>
      </c>
      <c r="JM41" s="145">
        <f t="shared" si="52"/>
        <v>-0.1691542288557214</v>
      </c>
      <c r="JN41" s="145">
        <f t="shared" si="52"/>
        <v>-4.790419161676647E-2</v>
      </c>
      <c r="JO41" s="145">
        <f t="shared" si="52"/>
        <v>6.9182389937106917E-2</v>
      </c>
      <c r="JP41" s="145">
        <f t="shared" si="52"/>
        <v>0.12352941176470589</v>
      </c>
      <c r="JQ41" s="145">
        <f t="shared" si="52"/>
        <v>0.16230366492146597</v>
      </c>
      <c r="JR41" s="145">
        <f t="shared" si="52"/>
        <v>6.7567567567567571E-2</v>
      </c>
      <c r="JS41" s="145">
        <f t="shared" si="52"/>
        <v>8.4388185654008432E-3</v>
      </c>
      <c r="JT41" s="145">
        <f t="shared" si="52"/>
        <v>0.23430962343096234</v>
      </c>
      <c r="JU41" s="145">
        <f t="shared" si="52"/>
        <v>-2.0338983050847456E-2</v>
      </c>
      <c r="JV41" s="145">
        <f t="shared" si="52"/>
        <v>-2.0761245674740483E-2</v>
      </c>
      <c r="JW41" s="145">
        <f t="shared" si="52"/>
        <v>-4.5936395759717315E-2</v>
      </c>
      <c r="JX41" s="145">
        <f t="shared" si="52"/>
        <v>-6.6666666666666666E-2</v>
      </c>
      <c r="JY41" s="145">
        <f t="shared" si="52"/>
        <v>-8.3333333333333329E-2</v>
      </c>
      <c r="JZ41" s="145">
        <f t="shared" si="52"/>
        <v>-3.896103896103896E-2</v>
      </c>
      <c r="KA41" s="145">
        <f t="shared" si="52"/>
        <v>4.0540540540540543E-2</v>
      </c>
      <c r="KB41" s="145">
        <f t="shared" si="52"/>
        <v>9.9567099567099568E-2</v>
      </c>
      <c r="KC41" s="145">
        <f t="shared" si="52"/>
        <v>9.8425196850393706E-2</v>
      </c>
      <c r="KD41" s="145">
        <f t="shared" si="52"/>
        <v>9.6774193548387094E-2</v>
      </c>
      <c r="KE41" s="145">
        <f t="shared" si="52"/>
        <v>0</v>
      </c>
      <c r="KF41" s="145">
        <f t="shared" si="52"/>
        <v>0.10784313725490197</v>
      </c>
      <c r="KG41" s="145">
        <f t="shared" si="52"/>
        <v>1.4749262536873156E-2</v>
      </c>
      <c r="KH41" s="145">
        <f t="shared" si="52"/>
        <v>-2.3255813953488372E-2</v>
      </c>
      <c r="KI41" s="145">
        <f t="shared" si="52"/>
        <v>-4.4642857142857144E-2</v>
      </c>
      <c r="KJ41" s="145">
        <f t="shared" si="52"/>
        <v>-1.2461059190031152E-2</v>
      </c>
      <c r="KK41" s="145">
        <f t="shared" si="52"/>
        <v>-0.20504731861198738</v>
      </c>
      <c r="KL41" s="145">
        <f t="shared" si="52"/>
        <v>-8.7301587301587297E-2</v>
      </c>
      <c r="KM41" s="145">
        <f t="shared" si="52"/>
        <v>4.3478260869565218E-3</v>
      </c>
      <c r="KN41" s="145">
        <f t="shared" si="52"/>
        <v>9.5238095238095233E-2</v>
      </c>
      <c r="KO41" s="145">
        <f t="shared" ref="KO41:LT41" si="53">(CU41-CT41)/CT41</f>
        <v>0.19367588932806323</v>
      </c>
      <c r="KP41" s="145">
        <f t="shared" si="53"/>
        <v>-6.6225165562913907E-3</v>
      </c>
      <c r="KQ41" s="145">
        <f t="shared" si="53"/>
        <v>-6.6666666666666671E-3</v>
      </c>
      <c r="KR41" s="145">
        <f t="shared" si="53"/>
        <v>0.13758389261744966</v>
      </c>
      <c r="KS41" s="145">
        <f t="shared" si="53"/>
        <v>5.3097345132743362E-2</v>
      </c>
      <c r="KT41" s="145">
        <f t="shared" si="53"/>
        <v>0.10084033613445378</v>
      </c>
      <c r="KU41" s="145">
        <f t="shared" si="53"/>
        <v>-4.5801526717557252E-2</v>
      </c>
      <c r="KV41" s="145">
        <f t="shared" si="53"/>
        <v>-0.11733333333333333</v>
      </c>
      <c r="KW41" s="145">
        <f t="shared" si="53"/>
        <v>-7.8549848942598186E-2</v>
      </c>
      <c r="KX41" s="145">
        <f t="shared" si="53"/>
        <v>-9.5081967213114751E-2</v>
      </c>
      <c r="KY41" s="145">
        <f t="shared" si="53"/>
        <v>-1.0869565217391304E-2</v>
      </c>
      <c r="KZ41" s="145">
        <f t="shared" si="53"/>
        <v>9.5238095238095233E-2</v>
      </c>
      <c r="LA41" s="145">
        <f t="shared" si="53"/>
        <v>7.6923076923076927E-2</v>
      </c>
      <c r="LB41" s="145">
        <f t="shared" si="53"/>
        <v>2.7950310559006212E-2</v>
      </c>
      <c r="LC41" s="145">
        <f t="shared" si="53"/>
        <v>-1.812688821752266E-2</v>
      </c>
      <c r="LD41" s="145">
        <f t="shared" si="53"/>
        <v>9.2307692307692313E-2</v>
      </c>
      <c r="LE41" s="145">
        <f t="shared" si="53"/>
        <v>7.605633802816901E-2</v>
      </c>
      <c r="LF41" s="145">
        <f t="shared" si="53"/>
        <v>-7.8534031413612562E-3</v>
      </c>
      <c r="LG41" s="145">
        <f t="shared" si="53"/>
        <v>-2.3746701846965697E-2</v>
      </c>
      <c r="LH41" s="145">
        <f t="shared" si="53"/>
        <v>-0.12432432432432433</v>
      </c>
      <c r="LI41" s="145">
        <f t="shared" si="53"/>
        <v>-0.1388888888888889</v>
      </c>
      <c r="LJ41" s="145">
        <f t="shared" si="53"/>
        <v>-0.11827956989247312</v>
      </c>
      <c r="LK41" s="145">
        <f t="shared" si="53"/>
        <v>0</v>
      </c>
      <c r="LL41" s="145">
        <f t="shared" si="53"/>
        <v>-3.6585365853658534E-2</v>
      </c>
      <c r="LM41" s="145">
        <f t="shared" si="53"/>
        <v>0.24894514767932491</v>
      </c>
      <c r="LN41" s="145">
        <f t="shared" si="53"/>
        <v>0.11148648648648649</v>
      </c>
      <c r="LO41" s="145">
        <f t="shared" si="53"/>
        <v>-3.0395136778115502E-2</v>
      </c>
      <c r="LP41" s="145">
        <f t="shared" si="53"/>
        <v>6.8965517241379309E-2</v>
      </c>
      <c r="LQ41" s="145">
        <f t="shared" si="53"/>
        <v>3.2258064516129031E-2</v>
      </c>
      <c r="LR41" s="145">
        <f t="shared" si="53"/>
        <v>-2.556818181818182E-2</v>
      </c>
      <c r="LS41" s="145">
        <f t="shared" si="53"/>
        <v>-0.10787172011661808</v>
      </c>
      <c r="LT41" s="145">
        <f t="shared" si="53"/>
        <v>-7.8431372549019607E-2</v>
      </c>
      <c r="LU41" s="145">
        <f t="shared" ref="LU41:MR41" si="54">(EA41-DZ41)/DZ41</f>
        <v>-8.1560283687943269E-2</v>
      </c>
      <c r="LV41" s="145">
        <f t="shared" si="54"/>
        <v>-0.15830115830115829</v>
      </c>
      <c r="LW41" s="145">
        <f t="shared" si="54"/>
        <v>4.5871559633027525E-2</v>
      </c>
      <c r="LX41" s="145">
        <f t="shared" si="54"/>
        <v>8.3333333333333329E-2</v>
      </c>
      <c r="LY41" s="145">
        <f t="shared" si="54"/>
        <v>0.10526315789473684</v>
      </c>
      <c r="LZ41" s="145">
        <f t="shared" si="54"/>
        <v>4.0293040293040296E-2</v>
      </c>
      <c r="MA41" s="145">
        <f t="shared" si="54"/>
        <v>-4.2253521126760563E-2</v>
      </c>
      <c r="MB41" s="145">
        <f t="shared" si="54"/>
        <v>0.11029411764705882</v>
      </c>
      <c r="MC41" s="145">
        <f t="shared" si="54"/>
        <v>-6.6225165562913907E-3</v>
      </c>
      <c r="MD41" s="145">
        <f t="shared" si="54"/>
        <v>-0.08</v>
      </c>
      <c r="ME41" s="145">
        <f t="shared" si="54"/>
        <v>-2.5362318840579712E-2</v>
      </c>
      <c r="MF41" s="145">
        <f t="shared" si="54"/>
        <v>-4.8327137546468404E-2</v>
      </c>
      <c r="MG41" s="145">
        <f t="shared" si="54"/>
        <v>-9.765625E-2</v>
      </c>
      <c r="MH41" s="145">
        <f t="shared" si="54"/>
        <v>-0.14285714285714285</v>
      </c>
      <c r="MI41" s="145">
        <f t="shared" si="54"/>
        <v>7.0707070707070704E-2</v>
      </c>
      <c r="MJ41" s="145">
        <f t="shared" si="54"/>
        <v>3.7735849056603772E-2</v>
      </c>
      <c r="MK41" s="145">
        <f t="shared" si="54"/>
        <v>0.13636363636363635</v>
      </c>
      <c r="ML41" s="145">
        <f t="shared" si="54"/>
        <v>-8.0000000000000002E-3</v>
      </c>
      <c r="MM41" s="145">
        <f t="shared" si="54"/>
        <v>-6.4516129032258063E-2</v>
      </c>
      <c r="MN41" s="145">
        <f t="shared" si="54"/>
        <v>8.6206896551724144E-2</v>
      </c>
      <c r="MO41" s="145">
        <f t="shared" si="54"/>
        <v>-9.9206349206349201E-2</v>
      </c>
      <c r="MP41" s="145">
        <f t="shared" si="54"/>
        <v>4.8458149779735685E-2</v>
      </c>
      <c r="MQ41" s="145">
        <f t="shared" si="54"/>
        <v>-5.8823529411764705E-2</v>
      </c>
      <c r="MR41" s="145">
        <f t="shared" si="54"/>
        <v>-0.10714285714285714</v>
      </c>
      <c r="MS41" s="145">
        <f>(EZ41-EY41)/EY41</f>
        <v>-0.1893491124260355</v>
      </c>
      <c r="MT41" s="145">
        <f t="shared" ref="MT41:NC45" si="55">(EZ41-EY41)/EZ41</f>
        <v>-0.23357664233576642</v>
      </c>
      <c r="MU41" s="145">
        <f t="shared" si="55"/>
        <v>2.1428571428571429E-2</v>
      </c>
      <c r="MV41" s="145">
        <f t="shared" si="55"/>
        <v>2.7777777777777776E-2</v>
      </c>
      <c r="MW41" s="145">
        <f t="shared" si="55"/>
        <v>-0.1076923076923077</v>
      </c>
      <c r="MX41" s="145">
        <f t="shared" si="55"/>
        <v>-0.14035087719298245</v>
      </c>
      <c r="MY41" s="145">
        <f t="shared" si="55"/>
        <v>-0.42499999999999999</v>
      </c>
      <c r="MZ41" s="145">
        <f t="shared" si="55"/>
        <v>-0.19402985074626866</v>
      </c>
      <c r="NA41" s="145">
        <f t="shared" si="55"/>
        <v>-0.34</v>
      </c>
      <c r="NB41" s="145">
        <f t="shared" si="55"/>
        <v>3.8461538461538464E-2</v>
      </c>
      <c r="NC41" s="145">
        <f t="shared" si="55"/>
        <v>8.771929824561403E-2</v>
      </c>
      <c r="ND41" s="145">
        <f t="shared" ref="ND41:NM45" si="56">(FJ41-FI41)/FJ41</f>
        <v>6.5573770491803282E-2</v>
      </c>
      <c r="NE41" s="145">
        <f t="shared" si="56"/>
        <v>0.10294117647058823</v>
      </c>
      <c r="NF41" s="145">
        <f t="shared" si="56"/>
        <v>0.20930232558139536</v>
      </c>
      <c r="NG41" s="145">
        <f t="shared" si="56"/>
        <v>-0.10256410256410256</v>
      </c>
      <c r="NH41" s="145">
        <f t="shared" si="56"/>
        <v>-8.3333333333333329E-2</v>
      </c>
      <c r="NI41" s="145">
        <f t="shared" si="56"/>
        <v>-2.8571428571428571E-2</v>
      </c>
      <c r="NJ41" s="145">
        <f t="shared" si="56"/>
        <v>-0.29629629629629628</v>
      </c>
      <c r="NK41" s="145">
        <f t="shared" si="56"/>
        <v>0</v>
      </c>
      <c r="NL41" s="145">
        <f t="shared" si="56"/>
        <v>-0.31707317073170732</v>
      </c>
      <c r="NM41" s="145">
        <f t="shared" si="56"/>
        <v>-7.8947368421052627E-2</v>
      </c>
      <c r="NN41" s="145">
        <f t="shared" ref="NN41:NW45" si="57">(FT41-FS41)/FT41</f>
        <v>0.33333333333333331</v>
      </c>
      <c r="NO41" s="145">
        <f t="shared" si="57"/>
        <v>0.35227272727272729</v>
      </c>
      <c r="NP41" s="145">
        <f t="shared" si="57"/>
        <v>0.39310344827586208</v>
      </c>
      <c r="NQ41" s="145">
        <f t="shared" si="57"/>
        <v>0.25641025641025639</v>
      </c>
      <c r="NR41" s="145">
        <f t="shared" si="57"/>
        <v>0.20408163265306123</v>
      </c>
      <c r="NS41" s="145">
        <f t="shared" si="57"/>
        <v>-4.7008547008547008E-2</v>
      </c>
      <c r="NT41" s="145">
        <f t="shared" si="57"/>
        <v>0.13970588235294118</v>
      </c>
      <c r="NU41" s="145">
        <f t="shared" si="57"/>
        <v>0</v>
      </c>
      <c r="NV41" s="145">
        <f t="shared" si="57"/>
        <v>-3.4220532319391636E-2</v>
      </c>
      <c r="NW41" s="145">
        <f t="shared" si="57"/>
        <v>-0.24644549763033174</v>
      </c>
      <c r="NX41" s="145">
        <f t="shared" ref="NX41:OL45" si="58">(GD41-GC41)/GD41</f>
        <v>0.17254901960784313</v>
      </c>
      <c r="NY41" s="145">
        <f t="shared" si="58"/>
        <v>-0.16972477064220184</v>
      </c>
      <c r="NZ41" s="145">
        <f t="shared" si="58"/>
        <v>-4.3062200956937802E-2</v>
      </c>
      <c r="OA41" s="145">
        <f t="shared" si="58"/>
        <v>-0.10582010582010581</v>
      </c>
      <c r="OB41" s="145">
        <f t="shared" si="58"/>
        <v>-0.125</v>
      </c>
      <c r="OC41" s="145">
        <f t="shared" si="58"/>
        <v>-0.16666666666666666</v>
      </c>
      <c r="OD41" s="145">
        <f t="shared" si="58"/>
        <v>-7.4626865671641784E-2</v>
      </c>
      <c r="OE41" s="145">
        <f t="shared" si="58"/>
        <v>0.11258278145695365</v>
      </c>
      <c r="OF41" s="145">
        <f t="shared" si="58"/>
        <v>0.12209302325581395</v>
      </c>
      <c r="OG41" s="145">
        <f t="shared" si="58"/>
        <v>0.2</v>
      </c>
      <c r="OH41" s="145">
        <f t="shared" si="58"/>
        <v>5.701754385964912E-2</v>
      </c>
      <c r="OI41" s="145">
        <f t="shared" si="58"/>
        <v>-0.13432835820895522</v>
      </c>
      <c r="OJ41" s="145">
        <f t="shared" si="58"/>
        <v>0.12987012987012986</v>
      </c>
      <c r="OK41" s="145">
        <f t="shared" si="58"/>
        <v>6.4777327935222673E-2</v>
      </c>
      <c r="OL41" s="145">
        <f t="shared" si="58"/>
        <v>4.0322580645161289E-3</v>
      </c>
    </row>
    <row r="42" spans="1:402" s="145" customFormat="1" ht="19.5" customHeight="1" x14ac:dyDescent="0.35">
      <c r="A42" s="12" t="s">
        <v>31</v>
      </c>
      <c r="B42" s="156"/>
      <c r="C42" s="156"/>
      <c r="D42" s="156"/>
      <c r="E42" s="156"/>
      <c r="F42" s="156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>
        <v>24</v>
      </c>
      <c r="DK42" s="143">
        <v>26</v>
      </c>
      <c r="DL42" s="143">
        <v>25</v>
      </c>
      <c r="DM42" s="143">
        <v>30</v>
      </c>
      <c r="DN42" s="143">
        <v>35</v>
      </c>
      <c r="DO42" s="143">
        <v>21</v>
      </c>
      <c r="DP42" s="143">
        <v>27</v>
      </c>
      <c r="DQ42" s="143">
        <v>19</v>
      </c>
      <c r="DR42" s="143">
        <v>24</v>
      </c>
      <c r="DS42" s="143">
        <v>25</v>
      </c>
      <c r="DT42" s="143">
        <v>21</v>
      </c>
      <c r="DU42" s="143">
        <v>29</v>
      </c>
      <c r="DV42" s="143">
        <v>40</v>
      </c>
      <c r="DW42" s="143">
        <v>38</v>
      </c>
      <c r="DX42" s="143">
        <v>41</v>
      </c>
      <c r="DY42" s="143">
        <v>49</v>
      </c>
      <c r="DZ42" s="143">
        <v>47</v>
      </c>
      <c r="EA42" s="143">
        <v>31</v>
      </c>
      <c r="EB42" s="143">
        <v>26</v>
      </c>
      <c r="EC42" s="143">
        <v>18</v>
      </c>
      <c r="ED42" s="143">
        <v>19</v>
      </c>
      <c r="EE42" s="143">
        <v>30</v>
      </c>
      <c r="EF42" s="143">
        <v>24</v>
      </c>
      <c r="EG42" s="143">
        <v>19</v>
      </c>
      <c r="EH42" s="143">
        <v>23</v>
      </c>
      <c r="EI42" s="143">
        <v>31</v>
      </c>
      <c r="EJ42" s="143">
        <v>40</v>
      </c>
      <c r="EK42" s="143">
        <v>39</v>
      </c>
      <c r="EL42" s="143">
        <v>38</v>
      </c>
      <c r="EM42" s="143">
        <v>28</v>
      </c>
      <c r="EN42" s="143">
        <v>21</v>
      </c>
      <c r="EO42" s="143">
        <v>23</v>
      </c>
      <c r="EP42" s="143">
        <v>30</v>
      </c>
      <c r="EQ42" s="143">
        <v>43</v>
      </c>
      <c r="ER42" s="143">
        <v>39</v>
      </c>
      <c r="ES42" s="143">
        <v>21</v>
      </c>
      <c r="ET42" s="143">
        <v>48</v>
      </c>
      <c r="EU42" s="143">
        <v>62</v>
      </c>
      <c r="EV42" s="143">
        <v>34</v>
      </c>
      <c r="EW42" s="143">
        <v>29</v>
      </c>
      <c r="EX42" s="143">
        <v>54</v>
      </c>
      <c r="EY42" s="143">
        <v>69</v>
      </c>
      <c r="EZ42" s="143">
        <v>54</v>
      </c>
      <c r="FA42" s="143">
        <v>60</v>
      </c>
      <c r="FB42" s="143">
        <v>60</v>
      </c>
      <c r="FC42" s="143">
        <v>64</v>
      </c>
      <c r="FD42" s="143">
        <v>69</v>
      </c>
      <c r="FE42" s="143">
        <v>49</v>
      </c>
      <c r="FF42" s="143">
        <v>60</v>
      </c>
      <c r="FG42" s="143">
        <v>52</v>
      </c>
      <c r="FH42" s="143">
        <v>66</v>
      </c>
      <c r="FI42" s="143">
        <v>63</v>
      </c>
      <c r="FJ42" s="143">
        <v>63</v>
      </c>
      <c r="FK42" s="143">
        <v>54</v>
      </c>
      <c r="FL42" s="143">
        <v>58</v>
      </c>
      <c r="FM42" s="143">
        <v>62</v>
      </c>
      <c r="FN42" s="143">
        <v>44</v>
      </c>
      <c r="FO42" s="143">
        <v>60</v>
      </c>
      <c r="FP42" s="143">
        <v>61</v>
      </c>
      <c r="FQ42" s="143">
        <v>31</v>
      </c>
      <c r="FR42" s="143">
        <v>47</v>
      </c>
      <c r="FS42" s="143">
        <v>46</v>
      </c>
      <c r="FT42" s="143">
        <v>45</v>
      </c>
      <c r="FU42" s="143">
        <v>46</v>
      </c>
      <c r="FV42" s="143">
        <v>54</v>
      </c>
      <c r="FW42" s="143">
        <v>46</v>
      </c>
      <c r="FX42" s="143">
        <v>26</v>
      </c>
      <c r="FY42" s="143">
        <v>41</v>
      </c>
      <c r="FZ42" s="143">
        <v>32</v>
      </c>
      <c r="GA42" s="143">
        <v>27</v>
      </c>
      <c r="GB42" s="143">
        <v>16</v>
      </c>
      <c r="GC42" s="143">
        <v>17</v>
      </c>
      <c r="GD42" s="143">
        <v>41</v>
      </c>
      <c r="GE42" s="143">
        <v>45</v>
      </c>
      <c r="GF42" s="143">
        <v>40</v>
      </c>
      <c r="GG42" s="143">
        <v>61</v>
      </c>
      <c r="GH42" s="143">
        <v>42</v>
      </c>
      <c r="GI42" s="143">
        <v>44</v>
      </c>
      <c r="GJ42" s="143">
        <v>34</v>
      </c>
      <c r="GK42" s="143">
        <v>32</v>
      </c>
      <c r="GL42" s="143">
        <v>31</v>
      </c>
      <c r="GM42" s="143">
        <v>29</v>
      </c>
      <c r="GN42" s="143">
        <v>24</v>
      </c>
      <c r="GO42" s="143">
        <v>16</v>
      </c>
      <c r="GP42" s="143">
        <v>38</v>
      </c>
      <c r="GQ42" s="143">
        <v>39</v>
      </c>
      <c r="GR42" s="143">
        <v>61</v>
      </c>
      <c r="GS42" s="143">
        <f>SUM(B42:GR42)/86</f>
        <v>39.651162790697676</v>
      </c>
      <c r="GT42" s="152"/>
      <c r="GU42" s="12" t="s">
        <v>31</v>
      </c>
      <c r="LE42" s="145">
        <f t="shared" ref="LE42:LN45" si="59">(DK42-DJ42)/DJ42</f>
        <v>8.3333333333333329E-2</v>
      </c>
      <c r="LF42" s="145">
        <f t="shared" si="59"/>
        <v>-3.8461538461538464E-2</v>
      </c>
      <c r="LG42" s="145">
        <f t="shared" si="59"/>
        <v>0.2</v>
      </c>
      <c r="LH42" s="145">
        <f t="shared" si="59"/>
        <v>0.16666666666666666</v>
      </c>
      <c r="LI42" s="145">
        <f t="shared" si="59"/>
        <v>-0.4</v>
      </c>
      <c r="LJ42" s="145">
        <f t="shared" si="59"/>
        <v>0.2857142857142857</v>
      </c>
      <c r="LK42" s="145">
        <f t="shared" si="59"/>
        <v>-0.29629629629629628</v>
      </c>
      <c r="LL42" s="145">
        <f t="shared" si="59"/>
        <v>0.26315789473684209</v>
      </c>
      <c r="LM42" s="145">
        <f t="shared" si="59"/>
        <v>4.1666666666666664E-2</v>
      </c>
      <c r="LN42" s="145">
        <f t="shared" si="59"/>
        <v>-0.16</v>
      </c>
      <c r="LO42" s="145">
        <f t="shared" ref="LO42:LX45" si="60">(DU42-DT42)/DT42</f>
        <v>0.38095238095238093</v>
      </c>
      <c r="LP42" s="145">
        <f t="shared" si="60"/>
        <v>0.37931034482758619</v>
      </c>
      <c r="LQ42" s="145">
        <f t="shared" si="60"/>
        <v>-0.05</v>
      </c>
      <c r="LR42" s="145">
        <f t="shared" si="60"/>
        <v>7.8947368421052627E-2</v>
      </c>
      <c r="LS42" s="145">
        <f t="shared" si="60"/>
        <v>0.1951219512195122</v>
      </c>
      <c r="LT42" s="145">
        <f t="shared" si="60"/>
        <v>-4.0816326530612242E-2</v>
      </c>
      <c r="LU42" s="145">
        <f t="shared" si="60"/>
        <v>-0.34042553191489361</v>
      </c>
      <c r="LV42" s="145">
        <f t="shared" si="60"/>
        <v>-0.16129032258064516</v>
      </c>
      <c r="LW42" s="145">
        <f t="shared" si="60"/>
        <v>-0.30769230769230771</v>
      </c>
      <c r="LX42" s="145">
        <f t="shared" si="60"/>
        <v>5.5555555555555552E-2</v>
      </c>
      <c r="LY42" s="145">
        <f t="shared" ref="LY42:MH45" si="61">(EE42-ED42)/ED42</f>
        <v>0.57894736842105265</v>
      </c>
      <c r="LZ42" s="145">
        <f t="shared" si="61"/>
        <v>-0.2</v>
      </c>
      <c r="MA42" s="145">
        <f t="shared" si="61"/>
        <v>-0.20833333333333334</v>
      </c>
      <c r="MB42" s="145">
        <f t="shared" si="61"/>
        <v>0.21052631578947367</v>
      </c>
      <c r="MC42" s="145">
        <f t="shared" si="61"/>
        <v>0.34782608695652173</v>
      </c>
      <c r="MD42" s="145">
        <f t="shared" si="61"/>
        <v>0.29032258064516131</v>
      </c>
      <c r="ME42" s="145">
        <f t="shared" si="61"/>
        <v>-2.5000000000000001E-2</v>
      </c>
      <c r="MF42" s="145">
        <f t="shared" si="61"/>
        <v>-2.564102564102564E-2</v>
      </c>
      <c r="MG42" s="145">
        <f t="shared" si="61"/>
        <v>-0.26315789473684209</v>
      </c>
      <c r="MH42" s="145">
        <f t="shared" si="61"/>
        <v>-0.25</v>
      </c>
      <c r="MI42" s="145">
        <f t="shared" ref="MI42:MR45" si="62">(EO42-EN42)/EN42</f>
        <v>9.5238095238095233E-2</v>
      </c>
      <c r="MJ42" s="145">
        <f t="shared" si="62"/>
        <v>0.30434782608695654</v>
      </c>
      <c r="MK42" s="145">
        <f t="shared" si="62"/>
        <v>0.43333333333333335</v>
      </c>
      <c r="ML42" s="145">
        <f t="shared" si="62"/>
        <v>-9.3023255813953487E-2</v>
      </c>
      <c r="MM42" s="145">
        <f t="shared" si="62"/>
        <v>-0.46153846153846156</v>
      </c>
      <c r="MN42" s="145">
        <f t="shared" si="62"/>
        <v>1.2857142857142858</v>
      </c>
      <c r="MO42" s="145">
        <f t="shared" si="62"/>
        <v>0.29166666666666669</v>
      </c>
      <c r="MP42" s="145">
        <f t="shared" si="62"/>
        <v>-0.45161290322580644</v>
      </c>
      <c r="MQ42" s="145">
        <f t="shared" si="62"/>
        <v>-0.14705882352941177</v>
      </c>
      <c r="MR42" s="145">
        <f t="shared" si="62"/>
        <v>0.86206896551724133</v>
      </c>
      <c r="MS42" s="145">
        <f>(EZ42-EY42)/EY42</f>
        <v>-0.21739130434782608</v>
      </c>
      <c r="MT42" s="145">
        <f t="shared" si="55"/>
        <v>-0.27777777777777779</v>
      </c>
      <c r="MU42" s="145">
        <f t="shared" si="55"/>
        <v>0.1</v>
      </c>
      <c r="MV42" s="145">
        <f t="shared" si="55"/>
        <v>0</v>
      </c>
      <c r="MW42" s="145">
        <f t="shared" si="55"/>
        <v>6.25E-2</v>
      </c>
      <c r="MX42" s="145">
        <f t="shared" si="55"/>
        <v>7.2463768115942032E-2</v>
      </c>
      <c r="MY42" s="145">
        <f t="shared" si="55"/>
        <v>-0.40816326530612246</v>
      </c>
      <c r="MZ42" s="145">
        <f t="shared" si="55"/>
        <v>0.18333333333333332</v>
      </c>
      <c r="NA42" s="145">
        <f t="shared" si="55"/>
        <v>-0.15384615384615385</v>
      </c>
      <c r="NB42" s="145">
        <f t="shared" si="55"/>
        <v>0.21212121212121213</v>
      </c>
      <c r="NC42" s="145">
        <f t="shared" si="55"/>
        <v>-4.7619047619047616E-2</v>
      </c>
      <c r="ND42" s="145">
        <f t="shared" si="56"/>
        <v>0</v>
      </c>
      <c r="NE42" s="145">
        <f t="shared" si="56"/>
        <v>-0.16666666666666666</v>
      </c>
      <c r="NF42" s="145">
        <f t="shared" si="56"/>
        <v>6.8965517241379309E-2</v>
      </c>
      <c r="NG42" s="145">
        <f t="shared" si="56"/>
        <v>6.4516129032258063E-2</v>
      </c>
      <c r="NH42" s="145">
        <f t="shared" si="56"/>
        <v>-0.40909090909090912</v>
      </c>
      <c r="NI42" s="145">
        <f t="shared" si="56"/>
        <v>0.26666666666666666</v>
      </c>
      <c r="NJ42" s="145">
        <f t="shared" si="56"/>
        <v>1.6393442622950821E-2</v>
      </c>
      <c r="NK42" s="145">
        <f t="shared" si="56"/>
        <v>-0.967741935483871</v>
      </c>
      <c r="NL42" s="145">
        <f t="shared" si="56"/>
        <v>0.34042553191489361</v>
      </c>
      <c r="NM42" s="145">
        <f t="shared" si="56"/>
        <v>-2.1739130434782608E-2</v>
      </c>
      <c r="NN42" s="145">
        <f t="shared" si="57"/>
        <v>-2.2222222222222223E-2</v>
      </c>
      <c r="NO42" s="145">
        <f t="shared" si="57"/>
        <v>2.1739130434782608E-2</v>
      </c>
      <c r="NP42" s="145">
        <f t="shared" si="57"/>
        <v>0.14814814814814814</v>
      </c>
      <c r="NQ42" s="145">
        <f t="shared" si="57"/>
        <v>-0.17391304347826086</v>
      </c>
      <c r="NR42" s="145">
        <f t="shared" si="57"/>
        <v>-0.76923076923076927</v>
      </c>
      <c r="NS42" s="145">
        <f t="shared" si="57"/>
        <v>0.36585365853658536</v>
      </c>
      <c r="NT42" s="145">
        <f t="shared" si="57"/>
        <v>-0.28125</v>
      </c>
      <c r="NU42" s="145">
        <f t="shared" si="57"/>
        <v>-0.18518518518518517</v>
      </c>
      <c r="NV42" s="145">
        <f t="shared" si="57"/>
        <v>-0.6875</v>
      </c>
      <c r="NW42" s="145">
        <f t="shared" si="57"/>
        <v>5.8823529411764705E-2</v>
      </c>
      <c r="NX42" s="145">
        <f t="shared" si="58"/>
        <v>0.58536585365853655</v>
      </c>
      <c r="NY42" s="145">
        <f t="shared" si="58"/>
        <v>8.8888888888888892E-2</v>
      </c>
      <c r="NZ42" s="145">
        <f t="shared" si="58"/>
        <v>-0.125</v>
      </c>
      <c r="OA42" s="145">
        <f t="shared" si="58"/>
        <v>0.34426229508196721</v>
      </c>
      <c r="OB42" s="145">
        <f t="shared" si="58"/>
        <v>-0.45238095238095238</v>
      </c>
      <c r="OC42" s="145">
        <f t="shared" si="58"/>
        <v>4.5454545454545456E-2</v>
      </c>
      <c r="OD42" s="145">
        <f t="shared" si="58"/>
        <v>-0.29411764705882354</v>
      </c>
      <c r="OE42" s="145">
        <f t="shared" si="58"/>
        <v>-6.25E-2</v>
      </c>
      <c r="OF42" s="145">
        <f t="shared" si="58"/>
        <v>-3.2258064516129031E-2</v>
      </c>
      <c r="OG42" s="145">
        <f t="shared" si="58"/>
        <v>-6.8965517241379309E-2</v>
      </c>
      <c r="OH42" s="145">
        <f t="shared" si="58"/>
        <v>-0.20833333333333334</v>
      </c>
      <c r="OI42" s="145">
        <f t="shared" si="58"/>
        <v>-0.5</v>
      </c>
      <c r="OJ42" s="145">
        <f t="shared" si="58"/>
        <v>0.57894736842105265</v>
      </c>
      <c r="OK42" s="145">
        <f t="shared" si="58"/>
        <v>2.564102564102564E-2</v>
      </c>
      <c r="OL42" s="145">
        <f t="shared" si="58"/>
        <v>0.36065573770491804</v>
      </c>
    </row>
    <row r="43" spans="1:402" s="145" customFormat="1" ht="19.5" customHeight="1" x14ac:dyDescent="0.35">
      <c r="A43" s="12" t="s">
        <v>32</v>
      </c>
      <c r="B43" s="156">
        <v>53</v>
      </c>
      <c r="C43" s="156">
        <v>18</v>
      </c>
      <c r="D43" s="156">
        <v>40</v>
      </c>
      <c r="E43" s="156">
        <v>35</v>
      </c>
      <c r="F43" s="156">
        <f>'[1]Jan 08'!C15</f>
        <v>36</v>
      </c>
      <c r="G43" s="143">
        <f>'[1]Feb 08'!C15</f>
        <v>42</v>
      </c>
      <c r="H43" s="143">
        <f>'[1]Mar 08'!C15</f>
        <v>40</v>
      </c>
      <c r="I43" s="143">
        <v>43</v>
      </c>
      <c r="J43" s="143">
        <f>'[1]May 08'!C15</f>
        <v>49</v>
      </c>
      <c r="K43" s="143">
        <f>'[1]Jun 08'!C15</f>
        <v>37</v>
      </c>
      <c r="L43" s="143">
        <f>'[1]Jul 08'!C15</f>
        <v>38</v>
      </c>
      <c r="M43" s="143">
        <f>'[1]Aug 08'!C15</f>
        <v>32</v>
      </c>
      <c r="N43" s="143">
        <v>24</v>
      </c>
      <c r="O43" s="143">
        <v>15</v>
      </c>
      <c r="P43" s="143">
        <v>22</v>
      </c>
      <c r="Q43" s="143">
        <v>11</v>
      </c>
      <c r="R43" s="143">
        <v>12</v>
      </c>
      <c r="S43" s="143">
        <v>19</v>
      </c>
      <c r="T43" s="143">
        <v>28</v>
      </c>
      <c r="U43" s="143">
        <v>30</v>
      </c>
      <c r="V43" s="143">
        <v>44</v>
      </c>
      <c r="W43" s="143">
        <v>34</v>
      </c>
      <c r="X43" s="143">
        <v>35</v>
      </c>
      <c r="Y43" s="143">
        <v>40</v>
      </c>
      <c r="Z43" s="143">
        <v>23</v>
      </c>
      <c r="AA43" s="143">
        <v>27</v>
      </c>
      <c r="AB43" s="143">
        <v>24</v>
      </c>
      <c r="AC43" s="143">
        <v>17</v>
      </c>
      <c r="AD43" s="143">
        <v>20</v>
      </c>
      <c r="AE43" s="143">
        <v>32</v>
      </c>
      <c r="AF43" s="143">
        <v>24</v>
      </c>
      <c r="AG43" s="143">
        <v>32</v>
      </c>
      <c r="AH43" s="143">
        <v>35</v>
      </c>
      <c r="AI43" s="143">
        <v>28</v>
      </c>
      <c r="AJ43" s="143">
        <v>18</v>
      </c>
      <c r="AK43" s="143">
        <v>16</v>
      </c>
      <c r="AL43" s="143">
        <v>18</v>
      </c>
      <c r="AM43" s="143">
        <v>23</v>
      </c>
      <c r="AN43" s="143">
        <v>26</v>
      </c>
      <c r="AO43" s="143">
        <v>17</v>
      </c>
      <c r="AP43" s="143">
        <v>19</v>
      </c>
      <c r="AQ43" s="143">
        <v>28</v>
      </c>
      <c r="AR43" s="143">
        <v>28</v>
      </c>
      <c r="AS43" s="143">
        <v>34</v>
      </c>
      <c r="AT43" s="143">
        <v>38</v>
      </c>
      <c r="AU43" s="143">
        <v>26</v>
      </c>
      <c r="AV43" s="143">
        <v>15</v>
      </c>
      <c r="AW43" s="143">
        <v>20</v>
      </c>
      <c r="AX43" s="143">
        <v>20</v>
      </c>
      <c r="AY43" s="143">
        <v>20</v>
      </c>
      <c r="AZ43" s="143">
        <v>11</v>
      </c>
      <c r="BA43" s="143">
        <v>13</v>
      </c>
      <c r="BB43" s="143">
        <v>17</v>
      </c>
      <c r="BC43" s="143">
        <v>27</v>
      </c>
      <c r="BD43" s="143">
        <v>33</v>
      </c>
      <c r="BE43" s="143">
        <v>31</v>
      </c>
      <c r="BF43" s="143">
        <v>34</v>
      </c>
      <c r="BG43" s="143">
        <v>19</v>
      </c>
      <c r="BH43" s="143">
        <v>15</v>
      </c>
      <c r="BI43" s="143">
        <v>22</v>
      </c>
      <c r="BJ43" s="143">
        <v>15</v>
      </c>
      <c r="BK43" s="143">
        <v>18</v>
      </c>
      <c r="BL43" s="143">
        <v>20</v>
      </c>
      <c r="BM43" s="143">
        <v>16</v>
      </c>
      <c r="BN43" s="143">
        <v>21</v>
      </c>
      <c r="BO43" s="143">
        <v>25</v>
      </c>
      <c r="BP43" s="143">
        <v>31</v>
      </c>
      <c r="BQ43" s="143">
        <v>29</v>
      </c>
      <c r="BR43" s="143">
        <v>34</v>
      </c>
      <c r="BS43" s="143">
        <v>37</v>
      </c>
      <c r="BT43" s="143">
        <v>26</v>
      </c>
      <c r="BU43" s="143">
        <v>30</v>
      </c>
      <c r="BV43" s="143">
        <v>24</v>
      </c>
      <c r="BW43" s="143">
        <v>22</v>
      </c>
      <c r="BX43" s="143">
        <v>21</v>
      </c>
      <c r="BY43" s="143">
        <v>14</v>
      </c>
      <c r="BZ43" s="143">
        <v>18</v>
      </c>
      <c r="CA43" s="143">
        <v>30</v>
      </c>
      <c r="CB43" s="143">
        <v>36</v>
      </c>
      <c r="CC43" s="143">
        <v>33</v>
      </c>
      <c r="CD43" s="143">
        <v>29</v>
      </c>
      <c r="CE43" s="143">
        <v>31</v>
      </c>
      <c r="CF43" s="143">
        <v>19</v>
      </c>
      <c r="CG43" s="143">
        <v>23</v>
      </c>
      <c r="CH43" s="143">
        <v>21</v>
      </c>
      <c r="CI43" s="143">
        <v>18</v>
      </c>
      <c r="CJ43" s="143">
        <v>21</v>
      </c>
      <c r="CK43" s="143">
        <v>13</v>
      </c>
      <c r="CL43" s="143">
        <v>20</v>
      </c>
      <c r="CM43" s="143">
        <v>27</v>
      </c>
      <c r="CN43" s="143">
        <v>32</v>
      </c>
      <c r="CO43" s="143">
        <v>35</v>
      </c>
      <c r="CP43" s="143">
        <v>25</v>
      </c>
      <c r="CQ43" s="143">
        <v>26</v>
      </c>
      <c r="CR43" s="143">
        <v>24</v>
      </c>
      <c r="CS43" s="143">
        <v>26</v>
      </c>
      <c r="CT43" s="143">
        <v>18</v>
      </c>
      <c r="CU43" s="143">
        <v>20</v>
      </c>
      <c r="CV43" s="143">
        <v>24</v>
      </c>
      <c r="CW43" s="143">
        <v>14</v>
      </c>
      <c r="CX43" s="143">
        <v>18</v>
      </c>
      <c r="CY43" s="143">
        <v>28</v>
      </c>
      <c r="CZ43" s="143">
        <v>21</v>
      </c>
      <c r="DA43" s="143">
        <v>28</v>
      </c>
      <c r="DB43" s="143">
        <v>41</v>
      </c>
      <c r="DC43" s="143">
        <v>25</v>
      </c>
      <c r="DD43" s="143">
        <v>27</v>
      </c>
      <c r="DE43" s="143">
        <v>20</v>
      </c>
      <c r="DF43" s="143">
        <v>21</v>
      </c>
      <c r="DG43" s="143">
        <v>23</v>
      </c>
      <c r="DH43" s="143">
        <v>21</v>
      </c>
      <c r="DI43" s="143">
        <v>21</v>
      </c>
      <c r="DJ43" s="143">
        <v>22</v>
      </c>
      <c r="DK43" s="143">
        <v>26</v>
      </c>
      <c r="DL43" s="143">
        <v>35</v>
      </c>
      <c r="DM43" s="143">
        <v>30</v>
      </c>
      <c r="DN43" s="143">
        <v>35</v>
      </c>
      <c r="DO43" s="143">
        <v>32</v>
      </c>
      <c r="DP43" s="143">
        <v>25</v>
      </c>
      <c r="DQ43" s="143">
        <v>28</v>
      </c>
      <c r="DR43" s="143">
        <v>21</v>
      </c>
      <c r="DS43" s="143">
        <v>21</v>
      </c>
      <c r="DT43" s="143">
        <v>23</v>
      </c>
      <c r="DU43" s="143">
        <v>16</v>
      </c>
      <c r="DV43" s="143">
        <v>18</v>
      </c>
      <c r="DW43" s="143">
        <v>38</v>
      </c>
      <c r="DX43" s="143">
        <v>47</v>
      </c>
      <c r="DY43" s="143">
        <v>41</v>
      </c>
      <c r="DZ43" s="143">
        <v>39</v>
      </c>
      <c r="EA43" s="143">
        <v>32</v>
      </c>
      <c r="EB43" s="143">
        <v>37</v>
      </c>
      <c r="EC43" s="143">
        <v>29</v>
      </c>
      <c r="ED43" s="143">
        <v>28</v>
      </c>
      <c r="EE43" s="143">
        <v>27</v>
      </c>
      <c r="EF43" s="143">
        <v>30</v>
      </c>
      <c r="EG43" s="143">
        <v>19</v>
      </c>
      <c r="EH43" s="143">
        <v>20</v>
      </c>
      <c r="EI43" s="143">
        <v>24</v>
      </c>
      <c r="EJ43" s="143">
        <v>38</v>
      </c>
      <c r="EK43" s="143">
        <v>40</v>
      </c>
      <c r="EL43" s="143">
        <v>35</v>
      </c>
      <c r="EM43" s="143">
        <v>20</v>
      </c>
      <c r="EN43" s="143">
        <v>21</v>
      </c>
      <c r="EO43" s="143">
        <v>21</v>
      </c>
      <c r="EP43" s="143">
        <v>25</v>
      </c>
      <c r="EQ43" s="143">
        <v>24</v>
      </c>
      <c r="ER43" s="143">
        <v>37</v>
      </c>
      <c r="ES43" s="143">
        <v>29</v>
      </c>
      <c r="ET43" s="143">
        <v>32</v>
      </c>
      <c r="EU43" s="143">
        <v>44</v>
      </c>
      <c r="EV43" s="143">
        <v>35</v>
      </c>
      <c r="EW43" s="143">
        <v>19</v>
      </c>
      <c r="EX43" s="143">
        <v>36</v>
      </c>
      <c r="EY43" s="143">
        <v>37</v>
      </c>
      <c r="EZ43" s="143">
        <v>49</v>
      </c>
      <c r="FA43" s="143">
        <v>56</v>
      </c>
      <c r="FB43" s="143">
        <v>52</v>
      </c>
      <c r="FC43" s="143">
        <v>71</v>
      </c>
      <c r="FD43" s="143">
        <v>77</v>
      </c>
      <c r="FE43" s="143">
        <v>39</v>
      </c>
      <c r="FF43" s="143">
        <v>64</v>
      </c>
      <c r="FG43" s="143">
        <v>70</v>
      </c>
      <c r="FH43" s="143">
        <v>73</v>
      </c>
      <c r="FI43" s="143">
        <v>87</v>
      </c>
      <c r="FJ43" s="143">
        <v>58</v>
      </c>
      <c r="FK43" s="143">
        <v>63</v>
      </c>
      <c r="FL43" s="143">
        <v>45</v>
      </c>
      <c r="FM43" s="143">
        <v>54</v>
      </c>
      <c r="FN43" s="143">
        <v>52</v>
      </c>
      <c r="FO43" s="143">
        <v>57</v>
      </c>
      <c r="FP43" s="143">
        <v>59</v>
      </c>
      <c r="FQ43" s="143">
        <v>44</v>
      </c>
      <c r="FR43" s="143">
        <v>60</v>
      </c>
      <c r="FS43" s="143">
        <v>75</v>
      </c>
      <c r="FT43" s="143">
        <v>75</v>
      </c>
      <c r="FU43" s="143">
        <v>73</v>
      </c>
      <c r="FV43" s="143">
        <v>54</v>
      </c>
      <c r="FW43" s="143">
        <v>38</v>
      </c>
      <c r="FX43" s="143">
        <v>35</v>
      </c>
      <c r="FY43" s="143">
        <v>39</v>
      </c>
      <c r="FZ43" s="143">
        <v>54</v>
      </c>
      <c r="GA43" s="143">
        <v>38</v>
      </c>
      <c r="GB43" s="143">
        <v>28</v>
      </c>
      <c r="GC43" s="143">
        <v>37</v>
      </c>
      <c r="GD43" s="143">
        <v>49</v>
      </c>
      <c r="GE43" s="143">
        <v>76</v>
      </c>
      <c r="GF43" s="143">
        <v>58</v>
      </c>
      <c r="GG43" s="143">
        <v>64</v>
      </c>
      <c r="GH43" s="143">
        <v>52</v>
      </c>
      <c r="GI43" s="143">
        <v>43</v>
      </c>
      <c r="GJ43" s="143">
        <v>43</v>
      </c>
      <c r="GK43" s="143">
        <v>30</v>
      </c>
      <c r="GL43" s="143">
        <v>39</v>
      </c>
      <c r="GM43" s="143">
        <v>26</v>
      </c>
      <c r="GN43" s="143">
        <v>18</v>
      </c>
      <c r="GO43" s="143">
        <v>28</v>
      </c>
      <c r="GP43" s="143">
        <v>40</v>
      </c>
      <c r="GQ43" s="143">
        <v>50</v>
      </c>
      <c r="GR43" s="143">
        <v>55</v>
      </c>
      <c r="GS43" s="143">
        <f>SUM(B43:GR43)/198</f>
        <v>32.676767676767675</v>
      </c>
      <c r="GT43" s="152"/>
      <c r="GU43" s="12" t="s">
        <v>32</v>
      </c>
      <c r="GV43" s="145" t="s">
        <v>30</v>
      </c>
      <c r="GW43" s="145">
        <f t="shared" ref="GW43:HF45" si="63">(C43-B43)/B43</f>
        <v>-0.660377358490566</v>
      </c>
      <c r="GX43" s="145">
        <f t="shared" si="63"/>
        <v>1.2222222222222223</v>
      </c>
      <c r="GY43" s="145">
        <f t="shared" si="63"/>
        <v>-0.125</v>
      </c>
      <c r="GZ43" s="145">
        <f t="shared" si="63"/>
        <v>2.8571428571428571E-2</v>
      </c>
      <c r="HA43" s="145">
        <f t="shared" si="63"/>
        <v>0.16666666666666666</v>
      </c>
      <c r="HB43" s="145">
        <f t="shared" si="63"/>
        <v>-4.7619047619047616E-2</v>
      </c>
      <c r="HC43" s="145">
        <f t="shared" si="63"/>
        <v>7.4999999999999997E-2</v>
      </c>
      <c r="HD43" s="145">
        <f t="shared" si="63"/>
        <v>0.13953488372093023</v>
      </c>
      <c r="HE43" s="145">
        <f t="shared" si="63"/>
        <v>-0.24489795918367346</v>
      </c>
      <c r="HF43" s="145">
        <f t="shared" si="63"/>
        <v>2.7027027027027029E-2</v>
      </c>
      <c r="HG43" s="145">
        <f t="shared" ref="HG43:HP45" si="64">(M43-L43)/L43</f>
        <v>-0.15789473684210525</v>
      </c>
      <c r="HH43" s="145">
        <f t="shared" si="64"/>
        <v>-0.25</v>
      </c>
      <c r="HI43" s="145">
        <f t="shared" si="64"/>
        <v>-0.375</v>
      </c>
      <c r="HJ43" s="145">
        <f t="shared" si="64"/>
        <v>0.46666666666666667</v>
      </c>
      <c r="HK43" s="145">
        <f t="shared" si="64"/>
        <v>-0.5</v>
      </c>
      <c r="HL43" s="145">
        <f t="shared" si="64"/>
        <v>9.0909090909090912E-2</v>
      </c>
      <c r="HM43" s="145">
        <f t="shared" si="64"/>
        <v>0.58333333333333337</v>
      </c>
      <c r="HN43" s="145">
        <f t="shared" si="64"/>
        <v>0.47368421052631576</v>
      </c>
      <c r="HO43" s="145">
        <f t="shared" si="64"/>
        <v>7.1428571428571425E-2</v>
      </c>
      <c r="HP43" s="145">
        <f t="shared" si="64"/>
        <v>0.46666666666666667</v>
      </c>
      <c r="HQ43" s="145">
        <f t="shared" ref="HQ43:HZ45" si="65">(W43-V43)/V43</f>
        <v>-0.22727272727272727</v>
      </c>
      <c r="HR43" s="145">
        <f t="shared" si="65"/>
        <v>2.9411764705882353E-2</v>
      </c>
      <c r="HS43" s="145">
        <f t="shared" si="65"/>
        <v>0.14285714285714285</v>
      </c>
      <c r="HT43" s="145">
        <f t="shared" si="65"/>
        <v>-0.42499999999999999</v>
      </c>
      <c r="HU43" s="145">
        <f t="shared" si="65"/>
        <v>0.17391304347826086</v>
      </c>
      <c r="HV43" s="145">
        <f t="shared" si="65"/>
        <v>-0.1111111111111111</v>
      </c>
      <c r="HW43" s="145">
        <f t="shared" si="65"/>
        <v>-0.29166666666666669</v>
      </c>
      <c r="HX43" s="145">
        <f t="shared" si="65"/>
        <v>0.17647058823529413</v>
      </c>
      <c r="HY43" s="145">
        <f t="shared" si="65"/>
        <v>0.6</v>
      </c>
      <c r="HZ43" s="145">
        <f t="shared" si="65"/>
        <v>-0.25</v>
      </c>
      <c r="IA43" s="145">
        <f t="shared" ref="IA43:IJ45" si="66">(AG43-AF43)/AF43</f>
        <v>0.33333333333333331</v>
      </c>
      <c r="IB43" s="145">
        <f t="shared" si="66"/>
        <v>9.375E-2</v>
      </c>
      <c r="IC43" s="145">
        <f t="shared" si="66"/>
        <v>-0.2</v>
      </c>
      <c r="ID43" s="145">
        <f t="shared" si="66"/>
        <v>-0.35714285714285715</v>
      </c>
      <c r="IE43" s="145">
        <f t="shared" si="66"/>
        <v>-0.1111111111111111</v>
      </c>
      <c r="IF43" s="145">
        <f t="shared" si="66"/>
        <v>0.125</v>
      </c>
      <c r="IG43" s="145">
        <f t="shared" si="66"/>
        <v>0.27777777777777779</v>
      </c>
      <c r="IH43" s="145">
        <f t="shared" si="66"/>
        <v>0.13043478260869565</v>
      </c>
      <c r="II43" s="145">
        <f t="shared" si="66"/>
        <v>-0.34615384615384615</v>
      </c>
      <c r="IJ43" s="145">
        <f t="shared" si="66"/>
        <v>0.11764705882352941</v>
      </c>
      <c r="IK43" s="145">
        <f t="shared" ref="IK43:IT45" si="67">(AQ43-AP43)/AP43</f>
        <v>0.47368421052631576</v>
      </c>
      <c r="IL43" s="145">
        <f t="shared" si="67"/>
        <v>0</v>
      </c>
      <c r="IM43" s="145">
        <f t="shared" si="67"/>
        <v>0.21428571428571427</v>
      </c>
      <c r="IN43" s="145">
        <f t="shared" si="67"/>
        <v>0.11764705882352941</v>
      </c>
      <c r="IO43" s="145">
        <f t="shared" si="67"/>
        <v>-0.31578947368421051</v>
      </c>
      <c r="IP43" s="145">
        <f t="shared" si="67"/>
        <v>-0.42307692307692307</v>
      </c>
      <c r="IQ43" s="145">
        <f t="shared" si="67"/>
        <v>0.33333333333333331</v>
      </c>
      <c r="IR43" s="145">
        <f t="shared" si="67"/>
        <v>0</v>
      </c>
      <c r="IS43" s="145">
        <f t="shared" si="67"/>
        <v>0</v>
      </c>
      <c r="IT43" s="145">
        <f t="shared" si="67"/>
        <v>-0.45</v>
      </c>
      <c r="IU43" s="145">
        <f t="shared" ref="IU43:JD45" si="68">(BA43-AZ43)/AZ43</f>
        <v>0.18181818181818182</v>
      </c>
      <c r="IV43" s="145">
        <f t="shared" si="68"/>
        <v>0.30769230769230771</v>
      </c>
      <c r="IW43" s="145">
        <f t="shared" si="68"/>
        <v>0.58823529411764708</v>
      </c>
      <c r="IX43" s="145">
        <f t="shared" si="68"/>
        <v>0.22222222222222221</v>
      </c>
      <c r="IY43" s="145">
        <f t="shared" si="68"/>
        <v>-6.0606060606060608E-2</v>
      </c>
      <c r="IZ43" s="145">
        <f t="shared" si="68"/>
        <v>9.6774193548387094E-2</v>
      </c>
      <c r="JA43" s="145">
        <f t="shared" si="68"/>
        <v>-0.44117647058823528</v>
      </c>
      <c r="JB43" s="145">
        <f t="shared" si="68"/>
        <v>-0.21052631578947367</v>
      </c>
      <c r="JC43" s="145">
        <f t="shared" si="68"/>
        <v>0.46666666666666667</v>
      </c>
      <c r="JD43" s="145">
        <f t="shared" si="68"/>
        <v>-0.31818181818181818</v>
      </c>
      <c r="JE43" s="145">
        <f t="shared" ref="JE43:JN45" si="69">(BK43-BJ43)/BJ43</f>
        <v>0.2</v>
      </c>
      <c r="JF43" s="145">
        <f t="shared" si="69"/>
        <v>0.1111111111111111</v>
      </c>
      <c r="JG43" s="145">
        <f t="shared" si="69"/>
        <v>-0.2</v>
      </c>
      <c r="JH43" s="145">
        <f t="shared" si="69"/>
        <v>0.3125</v>
      </c>
      <c r="JI43" s="145">
        <f t="shared" si="69"/>
        <v>0.19047619047619047</v>
      </c>
      <c r="JJ43" s="145">
        <f t="shared" si="69"/>
        <v>0.24</v>
      </c>
      <c r="JK43" s="145">
        <f t="shared" si="69"/>
        <v>-6.4516129032258063E-2</v>
      </c>
      <c r="JL43" s="145">
        <f t="shared" si="69"/>
        <v>0.17241379310344829</v>
      </c>
      <c r="JM43" s="145">
        <f t="shared" si="69"/>
        <v>8.8235294117647065E-2</v>
      </c>
      <c r="JN43" s="145">
        <f t="shared" si="69"/>
        <v>-0.29729729729729731</v>
      </c>
      <c r="JO43" s="145">
        <f t="shared" ref="JO43:JX45" si="70">(BU43-BT43)/BT43</f>
        <v>0.15384615384615385</v>
      </c>
      <c r="JP43" s="145">
        <f t="shared" si="70"/>
        <v>-0.2</v>
      </c>
      <c r="JQ43" s="145">
        <f t="shared" si="70"/>
        <v>-8.3333333333333329E-2</v>
      </c>
      <c r="JR43" s="145">
        <f t="shared" si="70"/>
        <v>-4.5454545454545456E-2</v>
      </c>
      <c r="JS43" s="145">
        <f t="shared" si="70"/>
        <v>-0.33333333333333331</v>
      </c>
      <c r="JT43" s="145">
        <f t="shared" si="70"/>
        <v>0.2857142857142857</v>
      </c>
      <c r="JU43" s="145">
        <f t="shared" si="70"/>
        <v>0.66666666666666663</v>
      </c>
      <c r="JV43" s="145">
        <f t="shared" si="70"/>
        <v>0.2</v>
      </c>
      <c r="JW43" s="145">
        <f t="shared" si="70"/>
        <v>-8.3333333333333329E-2</v>
      </c>
      <c r="JX43" s="145">
        <f t="shared" si="70"/>
        <v>-0.12121212121212122</v>
      </c>
      <c r="JY43" s="145">
        <f t="shared" ref="JY43:KH45" si="71">(CE43-CD43)/CD43</f>
        <v>6.8965517241379309E-2</v>
      </c>
      <c r="JZ43" s="145">
        <f t="shared" si="71"/>
        <v>-0.38709677419354838</v>
      </c>
      <c r="KA43" s="145">
        <f t="shared" si="71"/>
        <v>0.21052631578947367</v>
      </c>
      <c r="KB43" s="145">
        <f t="shared" si="71"/>
        <v>-8.6956521739130432E-2</v>
      </c>
      <c r="KC43" s="145">
        <f t="shared" si="71"/>
        <v>-0.14285714285714285</v>
      </c>
      <c r="KD43" s="145">
        <f t="shared" si="71"/>
        <v>0.16666666666666666</v>
      </c>
      <c r="KE43" s="145">
        <f t="shared" si="71"/>
        <v>-0.38095238095238093</v>
      </c>
      <c r="KF43" s="145">
        <f t="shared" si="71"/>
        <v>0.53846153846153844</v>
      </c>
      <c r="KG43" s="145">
        <f t="shared" si="71"/>
        <v>0.35</v>
      </c>
      <c r="KH43" s="145">
        <f t="shared" si="71"/>
        <v>0.18518518518518517</v>
      </c>
      <c r="KI43" s="145">
        <f t="shared" ref="KI43:KR45" si="72">(CO43-CN43)/CN43</f>
        <v>9.375E-2</v>
      </c>
      <c r="KJ43" s="145">
        <f t="shared" si="72"/>
        <v>-0.2857142857142857</v>
      </c>
      <c r="KK43" s="145">
        <f t="shared" si="72"/>
        <v>0.04</v>
      </c>
      <c r="KL43" s="145">
        <f t="shared" si="72"/>
        <v>-7.6923076923076927E-2</v>
      </c>
      <c r="KM43" s="145">
        <f t="shared" si="72"/>
        <v>8.3333333333333329E-2</v>
      </c>
      <c r="KN43" s="145">
        <f t="shared" si="72"/>
        <v>-0.30769230769230771</v>
      </c>
      <c r="KO43" s="145">
        <f t="shared" si="72"/>
        <v>0.1111111111111111</v>
      </c>
      <c r="KP43" s="145">
        <f t="shared" si="72"/>
        <v>0.2</v>
      </c>
      <c r="KQ43" s="145">
        <f t="shared" si="72"/>
        <v>-0.41666666666666669</v>
      </c>
      <c r="KR43" s="145">
        <f t="shared" si="72"/>
        <v>0.2857142857142857</v>
      </c>
      <c r="KS43" s="145">
        <f t="shared" ref="KS43:LB45" si="73">(CY43-CX43)/CX43</f>
        <v>0.55555555555555558</v>
      </c>
      <c r="KT43" s="145">
        <f t="shared" si="73"/>
        <v>-0.25</v>
      </c>
      <c r="KU43" s="145">
        <f t="shared" si="73"/>
        <v>0.33333333333333331</v>
      </c>
      <c r="KV43" s="145">
        <f t="shared" si="73"/>
        <v>0.4642857142857143</v>
      </c>
      <c r="KW43" s="145">
        <f t="shared" si="73"/>
        <v>-0.3902439024390244</v>
      </c>
      <c r="KX43" s="145">
        <f t="shared" si="73"/>
        <v>0.08</v>
      </c>
      <c r="KY43" s="145">
        <f t="shared" si="73"/>
        <v>-0.25925925925925924</v>
      </c>
      <c r="KZ43" s="145">
        <f t="shared" si="73"/>
        <v>0.05</v>
      </c>
      <c r="LA43" s="145">
        <f t="shared" si="73"/>
        <v>9.5238095238095233E-2</v>
      </c>
      <c r="LB43" s="145">
        <f t="shared" si="73"/>
        <v>-8.6956521739130432E-2</v>
      </c>
      <c r="LC43" s="145">
        <f t="shared" ref="LC43:LD45" si="74">(DI43-DH43)/DH43</f>
        <v>0</v>
      </c>
      <c r="LD43" s="145">
        <f t="shared" si="74"/>
        <v>4.7619047619047616E-2</v>
      </c>
      <c r="LE43" s="145">
        <f t="shared" si="59"/>
        <v>0.18181818181818182</v>
      </c>
      <c r="LF43" s="145">
        <f t="shared" si="59"/>
        <v>0.34615384615384615</v>
      </c>
      <c r="LG43" s="145">
        <f t="shared" si="59"/>
        <v>-0.14285714285714285</v>
      </c>
      <c r="LH43" s="145">
        <f t="shared" si="59"/>
        <v>0.16666666666666666</v>
      </c>
      <c r="LI43" s="145">
        <f t="shared" si="59"/>
        <v>-8.5714285714285715E-2</v>
      </c>
      <c r="LJ43" s="145">
        <f t="shared" si="59"/>
        <v>-0.21875</v>
      </c>
      <c r="LK43" s="145">
        <f t="shared" si="59"/>
        <v>0.12</v>
      </c>
      <c r="LL43" s="145">
        <f t="shared" si="59"/>
        <v>-0.25</v>
      </c>
      <c r="LM43" s="145">
        <f t="shared" si="59"/>
        <v>0</v>
      </c>
      <c r="LN43" s="145">
        <f t="shared" si="59"/>
        <v>9.5238095238095233E-2</v>
      </c>
      <c r="LO43" s="145">
        <f t="shared" si="60"/>
        <v>-0.30434782608695654</v>
      </c>
      <c r="LP43" s="145">
        <f t="shared" si="60"/>
        <v>0.125</v>
      </c>
      <c r="LQ43" s="145">
        <f t="shared" si="60"/>
        <v>1.1111111111111112</v>
      </c>
      <c r="LR43" s="145">
        <f t="shared" si="60"/>
        <v>0.23684210526315788</v>
      </c>
      <c r="LS43" s="145">
        <f t="shared" si="60"/>
        <v>-0.1276595744680851</v>
      </c>
      <c r="LT43" s="145">
        <f t="shared" si="60"/>
        <v>-4.878048780487805E-2</v>
      </c>
      <c r="LU43" s="145">
        <f t="shared" si="60"/>
        <v>-0.17948717948717949</v>
      </c>
      <c r="LV43" s="145">
        <f t="shared" si="60"/>
        <v>0.15625</v>
      </c>
      <c r="LW43" s="145">
        <f t="shared" si="60"/>
        <v>-0.21621621621621623</v>
      </c>
      <c r="LX43" s="145">
        <f t="shared" si="60"/>
        <v>-3.4482758620689655E-2</v>
      </c>
      <c r="LY43" s="145">
        <f t="shared" si="61"/>
        <v>-3.5714285714285712E-2</v>
      </c>
      <c r="LZ43" s="145">
        <f t="shared" si="61"/>
        <v>0.1111111111111111</v>
      </c>
      <c r="MA43" s="145">
        <f t="shared" si="61"/>
        <v>-0.36666666666666664</v>
      </c>
      <c r="MB43" s="145">
        <f t="shared" si="61"/>
        <v>5.2631578947368418E-2</v>
      </c>
      <c r="MC43" s="145">
        <f t="shared" si="61"/>
        <v>0.2</v>
      </c>
      <c r="MD43" s="145">
        <f t="shared" si="61"/>
        <v>0.58333333333333337</v>
      </c>
      <c r="ME43" s="145">
        <f t="shared" si="61"/>
        <v>5.2631578947368418E-2</v>
      </c>
      <c r="MF43" s="145">
        <f t="shared" si="61"/>
        <v>-0.125</v>
      </c>
      <c r="MG43" s="145">
        <f t="shared" si="61"/>
        <v>-0.42857142857142855</v>
      </c>
      <c r="MH43" s="145">
        <f t="shared" si="61"/>
        <v>0.05</v>
      </c>
      <c r="MI43" s="145">
        <f t="shared" si="62"/>
        <v>0</v>
      </c>
      <c r="MJ43" s="145">
        <f t="shared" si="62"/>
        <v>0.19047619047619047</v>
      </c>
      <c r="MK43" s="145">
        <f t="shared" si="62"/>
        <v>-0.04</v>
      </c>
      <c r="ML43" s="145">
        <f t="shared" si="62"/>
        <v>0.54166666666666663</v>
      </c>
      <c r="MM43" s="145">
        <f t="shared" si="62"/>
        <v>-0.21621621621621623</v>
      </c>
      <c r="MN43" s="145">
        <f t="shared" si="62"/>
        <v>0.10344827586206896</v>
      </c>
      <c r="MO43" s="145">
        <f t="shared" si="62"/>
        <v>0.375</v>
      </c>
      <c r="MP43" s="145">
        <f t="shared" si="62"/>
        <v>-0.20454545454545456</v>
      </c>
      <c r="MQ43" s="145">
        <f t="shared" si="62"/>
        <v>-0.45714285714285713</v>
      </c>
      <c r="MR43" s="145">
        <f t="shared" si="62"/>
        <v>0.89473684210526316</v>
      </c>
      <c r="MS43" s="145">
        <f>(EZ43-EY43)/EY43</f>
        <v>0.32432432432432434</v>
      </c>
      <c r="MT43" s="145">
        <f t="shared" si="55"/>
        <v>0.24489795918367346</v>
      </c>
      <c r="MU43" s="145">
        <f t="shared" si="55"/>
        <v>0.125</v>
      </c>
      <c r="MV43" s="145">
        <f t="shared" si="55"/>
        <v>-7.6923076923076927E-2</v>
      </c>
      <c r="MW43" s="145">
        <f t="shared" si="55"/>
        <v>0.26760563380281688</v>
      </c>
      <c r="MX43" s="145">
        <f t="shared" si="55"/>
        <v>7.792207792207792E-2</v>
      </c>
      <c r="MY43" s="145">
        <f t="shared" si="55"/>
        <v>-0.97435897435897434</v>
      </c>
      <c r="MZ43" s="145">
        <f t="shared" si="55"/>
        <v>0.390625</v>
      </c>
      <c r="NA43" s="145">
        <f t="shared" si="55"/>
        <v>8.5714285714285715E-2</v>
      </c>
      <c r="NB43" s="145">
        <f t="shared" si="55"/>
        <v>4.1095890410958902E-2</v>
      </c>
      <c r="NC43" s="145">
        <f t="shared" si="55"/>
        <v>0.16091954022988506</v>
      </c>
      <c r="ND43" s="145">
        <f t="shared" si="56"/>
        <v>-0.5</v>
      </c>
      <c r="NE43" s="145">
        <f t="shared" si="56"/>
        <v>7.9365079365079361E-2</v>
      </c>
      <c r="NF43" s="145">
        <f t="shared" si="56"/>
        <v>-0.4</v>
      </c>
      <c r="NG43" s="145">
        <f t="shared" si="56"/>
        <v>0.16666666666666666</v>
      </c>
      <c r="NH43" s="145">
        <f t="shared" si="56"/>
        <v>-3.8461538461538464E-2</v>
      </c>
      <c r="NI43" s="145">
        <f t="shared" si="56"/>
        <v>8.771929824561403E-2</v>
      </c>
      <c r="NJ43" s="145">
        <f t="shared" si="56"/>
        <v>3.3898305084745763E-2</v>
      </c>
      <c r="NK43" s="145">
        <f t="shared" si="56"/>
        <v>-0.34090909090909088</v>
      </c>
      <c r="NL43" s="145">
        <f t="shared" si="56"/>
        <v>0.26666666666666666</v>
      </c>
      <c r="NM43" s="145">
        <f t="shared" si="56"/>
        <v>0.2</v>
      </c>
      <c r="NN43" s="145">
        <f t="shared" si="57"/>
        <v>0</v>
      </c>
      <c r="NO43" s="145">
        <f t="shared" si="57"/>
        <v>-2.7397260273972601E-2</v>
      </c>
      <c r="NP43" s="145">
        <f t="shared" si="57"/>
        <v>-0.35185185185185186</v>
      </c>
      <c r="NQ43" s="145">
        <f t="shared" si="57"/>
        <v>-0.42105263157894735</v>
      </c>
      <c r="NR43" s="145">
        <f t="shared" si="57"/>
        <v>-8.5714285714285715E-2</v>
      </c>
      <c r="NS43" s="145">
        <f t="shared" si="57"/>
        <v>0.10256410256410256</v>
      </c>
      <c r="NT43" s="145">
        <f t="shared" si="57"/>
        <v>0.27777777777777779</v>
      </c>
      <c r="NU43" s="145">
        <f t="shared" si="57"/>
        <v>-0.42105263157894735</v>
      </c>
      <c r="NV43" s="145">
        <f t="shared" si="57"/>
        <v>-0.35714285714285715</v>
      </c>
      <c r="NW43" s="145">
        <f t="shared" si="57"/>
        <v>0.24324324324324326</v>
      </c>
      <c r="NX43" s="145">
        <f t="shared" si="58"/>
        <v>0.24489795918367346</v>
      </c>
      <c r="NY43" s="145">
        <f t="shared" si="58"/>
        <v>0.35526315789473684</v>
      </c>
      <c r="NZ43" s="145">
        <f t="shared" si="58"/>
        <v>-0.31034482758620691</v>
      </c>
      <c r="OA43" s="145">
        <f t="shared" si="58"/>
        <v>9.375E-2</v>
      </c>
      <c r="OB43" s="145">
        <f t="shared" si="58"/>
        <v>-0.23076923076923078</v>
      </c>
      <c r="OC43" s="145">
        <f t="shared" si="58"/>
        <v>-0.20930232558139536</v>
      </c>
      <c r="OD43" s="145">
        <f t="shared" si="58"/>
        <v>0</v>
      </c>
      <c r="OE43" s="145">
        <f t="shared" si="58"/>
        <v>-0.43333333333333335</v>
      </c>
      <c r="OF43" s="145">
        <f t="shared" si="58"/>
        <v>0.23076923076923078</v>
      </c>
      <c r="OG43" s="145">
        <f t="shared" si="58"/>
        <v>-0.5</v>
      </c>
      <c r="OH43" s="145">
        <f t="shared" si="58"/>
        <v>-0.44444444444444442</v>
      </c>
      <c r="OI43" s="145">
        <f t="shared" si="58"/>
        <v>0.35714285714285715</v>
      </c>
      <c r="OJ43" s="145">
        <f t="shared" si="58"/>
        <v>0.3</v>
      </c>
      <c r="OK43" s="145">
        <f t="shared" si="58"/>
        <v>0.2</v>
      </c>
      <c r="OL43" s="145">
        <f t="shared" si="58"/>
        <v>9.0909090909090912E-2</v>
      </c>
    </row>
    <row r="44" spans="1:402" s="145" customFormat="1" ht="19.5" customHeight="1" x14ac:dyDescent="0.35">
      <c r="A44" s="12" t="s">
        <v>33</v>
      </c>
      <c r="B44" s="156">
        <v>21</v>
      </c>
      <c r="C44" s="156">
        <v>25</v>
      </c>
      <c r="D44" s="156">
        <v>27</v>
      </c>
      <c r="E44" s="156">
        <v>26</v>
      </c>
      <c r="F44" s="156">
        <f>'[1]Jan 08'!C17</f>
        <v>21</v>
      </c>
      <c r="G44" s="143">
        <f>'[1]Feb 08'!C17</f>
        <v>19</v>
      </c>
      <c r="H44" s="143">
        <f>'[1]Mar 08'!C17</f>
        <v>24</v>
      </c>
      <c r="I44" s="143">
        <v>24</v>
      </c>
      <c r="J44" s="143">
        <f>'[1]May 08'!C17</f>
        <v>27</v>
      </c>
      <c r="K44" s="143">
        <f>'[1]Jun 08'!C17</f>
        <v>31</v>
      </c>
      <c r="L44" s="143">
        <f>'[1]Jul 08'!C17</f>
        <v>24</v>
      </c>
      <c r="M44" s="143">
        <f>'[1]Aug 08'!C17</f>
        <v>18</v>
      </c>
      <c r="N44" s="143">
        <v>18</v>
      </c>
      <c r="O44" s="143">
        <v>14</v>
      </c>
      <c r="P44" s="143">
        <v>2</v>
      </c>
      <c r="Q44" s="143">
        <v>16</v>
      </c>
      <c r="R44" s="143">
        <v>8</v>
      </c>
      <c r="S44" s="143">
        <v>15</v>
      </c>
      <c r="T44" s="143">
        <v>12</v>
      </c>
      <c r="U44" s="143">
        <v>24</v>
      </c>
      <c r="V44" s="143">
        <v>20</v>
      </c>
      <c r="W44" s="143">
        <v>29</v>
      </c>
      <c r="X44" s="143">
        <v>18</v>
      </c>
      <c r="Y44" s="143">
        <v>21</v>
      </c>
      <c r="Z44" s="143">
        <v>29</v>
      </c>
      <c r="AA44" s="143">
        <v>21</v>
      </c>
      <c r="AB44" s="143">
        <v>20</v>
      </c>
      <c r="AC44" s="143">
        <v>18</v>
      </c>
      <c r="AD44" s="143">
        <v>17</v>
      </c>
      <c r="AE44" s="143">
        <v>15</v>
      </c>
      <c r="AF44" s="143">
        <v>25</v>
      </c>
      <c r="AG44" s="143">
        <v>11</v>
      </c>
      <c r="AH44" s="143">
        <v>21</v>
      </c>
      <c r="AI44" s="143">
        <v>30</v>
      </c>
      <c r="AJ44" s="143">
        <v>19</v>
      </c>
      <c r="AK44" s="143">
        <v>13</v>
      </c>
      <c r="AL44" s="143">
        <v>10</v>
      </c>
      <c r="AM44" s="143">
        <v>12</v>
      </c>
      <c r="AN44" s="143">
        <v>19</v>
      </c>
      <c r="AO44" s="143">
        <v>26</v>
      </c>
      <c r="AP44" s="143">
        <v>13</v>
      </c>
      <c r="AQ44" s="143">
        <v>16</v>
      </c>
      <c r="AR44" s="143">
        <v>27</v>
      </c>
      <c r="AS44" s="143">
        <v>29</v>
      </c>
      <c r="AT44" s="143">
        <v>24</v>
      </c>
      <c r="AU44" s="143">
        <v>29</v>
      </c>
      <c r="AV44" s="143">
        <v>22</v>
      </c>
      <c r="AW44" s="143">
        <v>8</v>
      </c>
      <c r="AX44" s="143">
        <v>11</v>
      </c>
      <c r="AY44" s="143">
        <v>17</v>
      </c>
      <c r="AZ44" s="143">
        <v>18</v>
      </c>
      <c r="BA44" s="143">
        <v>18</v>
      </c>
      <c r="BB44" s="143">
        <v>15</v>
      </c>
      <c r="BC44" s="143">
        <v>12</v>
      </c>
      <c r="BD44" s="143">
        <v>24</v>
      </c>
      <c r="BE44" s="143">
        <v>31</v>
      </c>
      <c r="BF44" s="143">
        <v>27</v>
      </c>
      <c r="BG44" s="143">
        <v>30</v>
      </c>
      <c r="BH44" s="143">
        <v>18</v>
      </c>
      <c r="BI44" s="143">
        <v>18</v>
      </c>
      <c r="BJ44" s="143">
        <v>20</v>
      </c>
      <c r="BK44" s="143">
        <v>17</v>
      </c>
      <c r="BL44" s="143">
        <v>22</v>
      </c>
      <c r="BM44" s="143">
        <v>21</v>
      </c>
      <c r="BN44" s="143">
        <v>15</v>
      </c>
      <c r="BO44" s="143">
        <v>20</v>
      </c>
      <c r="BP44" s="143">
        <v>28</v>
      </c>
      <c r="BQ44" s="143">
        <v>36</v>
      </c>
      <c r="BR44" s="143">
        <v>41</v>
      </c>
      <c r="BS44" s="143">
        <v>26</v>
      </c>
      <c r="BT44" s="143">
        <v>31</v>
      </c>
      <c r="BU44" s="143">
        <v>28</v>
      </c>
      <c r="BV44" s="143">
        <v>26</v>
      </c>
      <c r="BW44" s="143">
        <v>24</v>
      </c>
      <c r="BX44" s="143">
        <v>22</v>
      </c>
      <c r="BY44" s="143">
        <v>27</v>
      </c>
      <c r="BZ44" s="143">
        <v>11</v>
      </c>
      <c r="CA44" s="143">
        <v>22</v>
      </c>
      <c r="CB44" s="143">
        <v>37</v>
      </c>
      <c r="CC44" s="143">
        <v>40</v>
      </c>
      <c r="CD44" s="143">
        <v>40</v>
      </c>
      <c r="CE44" s="143">
        <v>38</v>
      </c>
      <c r="CF44" s="143">
        <v>27</v>
      </c>
      <c r="CG44" s="143">
        <v>16</v>
      </c>
      <c r="CH44" s="143">
        <v>17</v>
      </c>
      <c r="CI44" s="143">
        <v>24</v>
      </c>
      <c r="CJ44" s="143">
        <v>17</v>
      </c>
      <c r="CK44" s="143">
        <v>25</v>
      </c>
      <c r="CL44" s="143">
        <v>23</v>
      </c>
      <c r="CM44" s="143">
        <v>28</v>
      </c>
      <c r="CN44" s="143">
        <v>32</v>
      </c>
      <c r="CO44" s="143">
        <v>44</v>
      </c>
      <c r="CP44" s="143">
        <v>35</v>
      </c>
      <c r="CQ44" s="143">
        <v>34</v>
      </c>
      <c r="CR44" s="143">
        <v>12</v>
      </c>
      <c r="CS44" s="143">
        <v>22</v>
      </c>
      <c r="CT44" s="143">
        <v>22</v>
      </c>
      <c r="CU44" s="143">
        <v>20</v>
      </c>
      <c r="CV44" s="143">
        <v>19</v>
      </c>
      <c r="CW44" s="143">
        <v>29</v>
      </c>
      <c r="CX44" s="143">
        <v>16</v>
      </c>
      <c r="CY44" s="143">
        <v>26</v>
      </c>
      <c r="CZ44" s="143">
        <v>33</v>
      </c>
      <c r="DA44" s="143">
        <v>25</v>
      </c>
      <c r="DB44" s="143">
        <v>26</v>
      </c>
      <c r="DC44" s="143">
        <v>44</v>
      </c>
      <c r="DD44" s="143">
        <v>16</v>
      </c>
      <c r="DE44" s="143">
        <v>33</v>
      </c>
      <c r="DF44" s="143">
        <v>29</v>
      </c>
      <c r="DG44" s="143">
        <v>26</v>
      </c>
      <c r="DH44" s="143">
        <v>28</v>
      </c>
      <c r="DI44" s="143">
        <v>36</v>
      </c>
      <c r="DJ44" s="143">
        <v>27</v>
      </c>
      <c r="DK44" s="143">
        <v>24</v>
      </c>
      <c r="DL44" s="143">
        <v>32</v>
      </c>
      <c r="DM44" s="143">
        <v>37</v>
      </c>
      <c r="DN44" s="143">
        <v>37</v>
      </c>
      <c r="DO44" s="143">
        <v>53</v>
      </c>
      <c r="DP44" s="143">
        <v>33</v>
      </c>
      <c r="DQ44" s="143">
        <v>32</v>
      </c>
      <c r="DR44" s="143">
        <v>38</v>
      </c>
      <c r="DS44" s="143">
        <v>30</v>
      </c>
      <c r="DT44" s="143">
        <v>31</v>
      </c>
      <c r="DU44" s="143">
        <v>30</v>
      </c>
      <c r="DV44" s="143">
        <v>35</v>
      </c>
      <c r="DW44" s="143">
        <v>36</v>
      </c>
      <c r="DX44" s="143">
        <v>56</v>
      </c>
      <c r="DY44" s="143">
        <v>55</v>
      </c>
      <c r="DZ44" s="143">
        <v>61</v>
      </c>
      <c r="EA44" s="143">
        <v>64</v>
      </c>
      <c r="EB44" s="143">
        <v>44</v>
      </c>
      <c r="EC44" s="143">
        <v>43</v>
      </c>
      <c r="ED44" s="143">
        <v>29</v>
      </c>
      <c r="EE44" s="143">
        <v>32</v>
      </c>
      <c r="EF44" s="143">
        <v>35</v>
      </c>
      <c r="EG44" s="143">
        <v>41</v>
      </c>
      <c r="EH44" s="143">
        <v>32</v>
      </c>
      <c r="EI44" s="143">
        <v>36</v>
      </c>
      <c r="EJ44" s="143">
        <v>35</v>
      </c>
      <c r="EK44" s="143">
        <v>49</v>
      </c>
      <c r="EL44" s="143">
        <v>57</v>
      </c>
      <c r="EM44" s="143">
        <v>48</v>
      </c>
      <c r="EN44" s="143">
        <v>37</v>
      </c>
      <c r="EO44" s="143">
        <v>28</v>
      </c>
      <c r="EP44" s="143">
        <v>33</v>
      </c>
      <c r="EQ44" s="143">
        <v>33</v>
      </c>
      <c r="ER44" s="143">
        <v>46</v>
      </c>
      <c r="ES44" s="143">
        <v>59</v>
      </c>
      <c r="ET44" s="143">
        <v>26</v>
      </c>
      <c r="EU44" s="143">
        <v>57</v>
      </c>
      <c r="EV44" s="143">
        <v>69</v>
      </c>
      <c r="EW44" s="143">
        <v>50</v>
      </c>
      <c r="EX44" s="143">
        <v>33</v>
      </c>
      <c r="EY44" s="143">
        <v>63</v>
      </c>
      <c r="EZ44" s="143">
        <v>79</v>
      </c>
      <c r="FA44" s="143">
        <v>81</v>
      </c>
      <c r="FB44" s="143">
        <v>89</v>
      </c>
      <c r="FC44" s="143">
        <v>91</v>
      </c>
      <c r="FD44" s="143">
        <v>82</v>
      </c>
      <c r="FE44" s="143">
        <v>125</v>
      </c>
      <c r="FF44" s="143">
        <v>75</v>
      </c>
      <c r="FG44" s="143">
        <v>98</v>
      </c>
      <c r="FH44" s="143">
        <v>111</v>
      </c>
      <c r="FI44" s="143">
        <v>110</v>
      </c>
      <c r="FJ44" s="143">
        <v>123</v>
      </c>
      <c r="FK44" s="143">
        <v>95</v>
      </c>
      <c r="FL44" s="143">
        <v>96</v>
      </c>
      <c r="FM44" s="143">
        <v>78</v>
      </c>
      <c r="FN44" s="143">
        <v>98</v>
      </c>
      <c r="FO44" s="143">
        <v>77</v>
      </c>
      <c r="FP44" s="143">
        <v>100</v>
      </c>
      <c r="FQ44" s="143">
        <v>101</v>
      </c>
      <c r="FR44" s="143">
        <v>71</v>
      </c>
      <c r="FS44" s="143">
        <v>83</v>
      </c>
      <c r="FT44" s="143">
        <v>124</v>
      </c>
      <c r="FU44" s="143">
        <v>118</v>
      </c>
      <c r="FV44" s="143">
        <v>108</v>
      </c>
      <c r="FW44" s="143">
        <v>102</v>
      </c>
      <c r="FX44" s="143">
        <v>71</v>
      </c>
      <c r="FY44" s="143">
        <v>53</v>
      </c>
      <c r="FZ44" s="143">
        <v>69</v>
      </c>
      <c r="GA44" s="143">
        <v>73</v>
      </c>
      <c r="GB44" s="143">
        <v>56</v>
      </c>
      <c r="GC44" s="143">
        <v>38</v>
      </c>
      <c r="GD44" s="143">
        <v>40</v>
      </c>
      <c r="GE44" s="143">
        <v>71</v>
      </c>
      <c r="GF44" s="143">
        <v>101</v>
      </c>
      <c r="GG44" s="143">
        <v>69</v>
      </c>
      <c r="GH44" s="143">
        <v>114</v>
      </c>
      <c r="GI44" s="143">
        <v>95</v>
      </c>
      <c r="GJ44" s="143">
        <v>70</v>
      </c>
      <c r="GK44" s="143">
        <v>75</v>
      </c>
      <c r="GL44" s="143">
        <v>58</v>
      </c>
      <c r="GM44" s="143">
        <v>65</v>
      </c>
      <c r="GN44" s="143">
        <v>71</v>
      </c>
      <c r="GO44" s="143">
        <v>42</v>
      </c>
      <c r="GP44" s="143">
        <v>48</v>
      </c>
      <c r="GQ44" s="143">
        <v>71</v>
      </c>
      <c r="GR44" s="143">
        <v>70</v>
      </c>
      <c r="GS44" s="143">
        <f>SUM(B44:GR44)/198</f>
        <v>40.575757575757578</v>
      </c>
      <c r="GT44" s="152"/>
      <c r="GU44" s="12" t="s">
        <v>33</v>
      </c>
      <c r="GV44" s="145" t="s">
        <v>30</v>
      </c>
      <c r="GW44" s="145">
        <f t="shared" si="63"/>
        <v>0.19047619047619047</v>
      </c>
      <c r="GX44" s="145">
        <f t="shared" si="63"/>
        <v>0.08</v>
      </c>
      <c r="GY44" s="145">
        <f t="shared" si="63"/>
        <v>-3.7037037037037035E-2</v>
      </c>
      <c r="GZ44" s="145">
        <f t="shared" si="63"/>
        <v>-0.19230769230769232</v>
      </c>
      <c r="HA44" s="145">
        <f t="shared" si="63"/>
        <v>-9.5238095238095233E-2</v>
      </c>
      <c r="HB44" s="145">
        <f t="shared" si="63"/>
        <v>0.26315789473684209</v>
      </c>
      <c r="HC44" s="145">
        <f t="shared" si="63"/>
        <v>0</v>
      </c>
      <c r="HD44" s="145">
        <f t="shared" si="63"/>
        <v>0.125</v>
      </c>
      <c r="HE44" s="145">
        <f t="shared" si="63"/>
        <v>0.14814814814814814</v>
      </c>
      <c r="HF44" s="145">
        <f t="shared" si="63"/>
        <v>-0.22580645161290322</v>
      </c>
      <c r="HG44" s="145">
        <f t="shared" si="64"/>
        <v>-0.25</v>
      </c>
      <c r="HH44" s="145">
        <f t="shared" si="64"/>
        <v>0</v>
      </c>
      <c r="HI44" s="145">
        <f t="shared" si="64"/>
        <v>-0.22222222222222221</v>
      </c>
      <c r="HJ44" s="145">
        <f t="shared" si="64"/>
        <v>-0.8571428571428571</v>
      </c>
      <c r="HK44" s="145">
        <f t="shared" si="64"/>
        <v>7</v>
      </c>
      <c r="HL44" s="145">
        <f t="shared" si="64"/>
        <v>-0.5</v>
      </c>
      <c r="HM44" s="145">
        <f t="shared" si="64"/>
        <v>0.875</v>
      </c>
      <c r="HN44" s="145">
        <f t="shared" si="64"/>
        <v>-0.2</v>
      </c>
      <c r="HO44" s="145">
        <f t="shared" si="64"/>
        <v>1</v>
      </c>
      <c r="HP44" s="145">
        <f t="shared" si="64"/>
        <v>-0.16666666666666666</v>
      </c>
      <c r="HQ44" s="145">
        <f t="shared" si="65"/>
        <v>0.45</v>
      </c>
      <c r="HR44" s="145">
        <f t="shared" si="65"/>
        <v>-0.37931034482758619</v>
      </c>
      <c r="HS44" s="145">
        <f t="shared" si="65"/>
        <v>0.16666666666666666</v>
      </c>
      <c r="HT44" s="145">
        <f t="shared" si="65"/>
        <v>0.38095238095238093</v>
      </c>
      <c r="HU44" s="145">
        <f t="shared" si="65"/>
        <v>-0.27586206896551724</v>
      </c>
      <c r="HV44" s="145">
        <f t="shared" si="65"/>
        <v>-4.7619047619047616E-2</v>
      </c>
      <c r="HW44" s="145">
        <f t="shared" si="65"/>
        <v>-0.1</v>
      </c>
      <c r="HX44" s="145">
        <f t="shared" si="65"/>
        <v>-5.5555555555555552E-2</v>
      </c>
      <c r="HY44" s="145">
        <f t="shared" si="65"/>
        <v>-0.11764705882352941</v>
      </c>
      <c r="HZ44" s="145">
        <f t="shared" si="65"/>
        <v>0.66666666666666663</v>
      </c>
      <c r="IA44" s="145">
        <f t="shared" si="66"/>
        <v>-0.56000000000000005</v>
      </c>
      <c r="IB44" s="145">
        <f t="shared" si="66"/>
        <v>0.90909090909090906</v>
      </c>
      <c r="IC44" s="145">
        <f t="shared" si="66"/>
        <v>0.42857142857142855</v>
      </c>
      <c r="ID44" s="145">
        <f t="shared" si="66"/>
        <v>-0.36666666666666664</v>
      </c>
      <c r="IE44" s="145">
        <f t="shared" si="66"/>
        <v>-0.31578947368421051</v>
      </c>
      <c r="IF44" s="145">
        <f t="shared" si="66"/>
        <v>-0.23076923076923078</v>
      </c>
      <c r="IG44" s="145">
        <f t="shared" si="66"/>
        <v>0.2</v>
      </c>
      <c r="IH44" s="145">
        <f t="shared" si="66"/>
        <v>0.58333333333333337</v>
      </c>
      <c r="II44" s="145">
        <f t="shared" si="66"/>
        <v>0.36842105263157893</v>
      </c>
      <c r="IJ44" s="145">
        <f t="shared" si="66"/>
        <v>-0.5</v>
      </c>
      <c r="IK44" s="145">
        <f t="shared" si="67"/>
        <v>0.23076923076923078</v>
      </c>
      <c r="IL44" s="145">
        <f t="shared" si="67"/>
        <v>0.6875</v>
      </c>
      <c r="IM44" s="145">
        <f t="shared" si="67"/>
        <v>7.407407407407407E-2</v>
      </c>
      <c r="IN44" s="145">
        <f t="shared" si="67"/>
        <v>-0.17241379310344829</v>
      </c>
      <c r="IO44" s="145">
        <f t="shared" si="67"/>
        <v>0.20833333333333334</v>
      </c>
      <c r="IP44" s="145">
        <f t="shared" si="67"/>
        <v>-0.2413793103448276</v>
      </c>
      <c r="IQ44" s="145">
        <f t="shared" si="67"/>
        <v>-0.63636363636363635</v>
      </c>
      <c r="IR44" s="145">
        <f t="shared" si="67"/>
        <v>0.375</v>
      </c>
      <c r="IS44" s="145">
        <f t="shared" si="67"/>
        <v>0.54545454545454541</v>
      </c>
      <c r="IT44" s="145">
        <f t="shared" si="67"/>
        <v>5.8823529411764705E-2</v>
      </c>
      <c r="IU44" s="145">
        <f t="shared" si="68"/>
        <v>0</v>
      </c>
      <c r="IV44" s="145">
        <f t="shared" si="68"/>
        <v>-0.16666666666666666</v>
      </c>
      <c r="IW44" s="145">
        <f t="shared" si="68"/>
        <v>-0.2</v>
      </c>
      <c r="IX44" s="145">
        <f t="shared" si="68"/>
        <v>1</v>
      </c>
      <c r="IY44" s="145">
        <f t="shared" si="68"/>
        <v>0.29166666666666669</v>
      </c>
      <c r="IZ44" s="145">
        <f t="shared" si="68"/>
        <v>-0.12903225806451613</v>
      </c>
      <c r="JA44" s="145">
        <f t="shared" si="68"/>
        <v>0.1111111111111111</v>
      </c>
      <c r="JB44" s="145">
        <f t="shared" si="68"/>
        <v>-0.4</v>
      </c>
      <c r="JC44" s="145">
        <f t="shared" si="68"/>
        <v>0</v>
      </c>
      <c r="JD44" s="145">
        <f t="shared" si="68"/>
        <v>0.1111111111111111</v>
      </c>
      <c r="JE44" s="145">
        <f t="shared" si="69"/>
        <v>-0.15</v>
      </c>
      <c r="JF44" s="145">
        <f t="shared" si="69"/>
        <v>0.29411764705882354</v>
      </c>
      <c r="JG44" s="145">
        <f t="shared" si="69"/>
        <v>-4.5454545454545456E-2</v>
      </c>
      <c r="JH44" s="145">
        <f t="shared" si="69"/>
        <v>-0.2857142857142857</v>
      </c>
      <c r="JI44" s="145">
        <f t="shared" si="69"/>
        <v>0.33333333333333331</v>
      </c>
      <c r="JJ44" s="145">
        <f t="shared" si="69"/>
        <v>0.4</v>
      </c>
      <c r="JK44" s="145">
        <f t="shared" si="69"/>
        <v>0.2857142857142857</v>
      </c>
      <c r="JL44" s="145">
        <f t="shared" si="69"/>
        <v>0.1388888888888889</v>
      </c>
      <c r="JM44" s="145">
        <f t="shared" si="69"/>
        <v>-0.36585365853658536</v>
      </c>
      <c r="JN44" s="145">
        <f t="shared" si="69"/>
        <v>0.19230769230769232</v>
      </c>
      <c r="JO44" s="145">
        <f t="shared" si="70"/>
        <v>-9.6774193548387094E-2</v>
      </c>
      <c r="JP44" s="145">
        <f t="shared" si="70"/>
        <v>-7.1428571428571425E-2</v>
      </c>
      <c r="JQ44" s="145">
        <f t="shared" si="70"/>
        <v>-7.6923076923076927E-2</v>
      </c>
      <c r="JR44" s="145">
        <f t="shared" si="70"/>
        <v>-8.3333333333333329E-2</v>
      </c>
      <c r="JS44" s="145">
        <f t="shared" si="70"/>
        <v>0.22727272727272727</v>
      </c>
      <c r="JT44" s="145">
        <f t="shared" si="70"/>
        <v>-0.59259259259259256</v>
      </c>
      <c r="JU44" s="145">
        <f t="shared" si="70"/>
        <v>1</v>
      </c>
      <c r="JV44" s="145">
        <f t="shared" si="70"/>
        <v>0.68181818181818177</v>
      </c>
      <c r="JW44" s="145">
        <f t="shared" si="70"/>
        <v>8.1081081081081086E-2</v>
      </c>
      <c r="JX44" s="145">
        <f t="shared" si="70"/>
        <v>0</v>
      </c>
      <c r="JY44" s="145">
        <f t="shared" si="71"/>
        <v>-0.05</v>
      </c>
      <c r="JZ44" s="145">
        <f t="shared" si="71"/>
        <v>-0.28947368421052633</v>
      </c>
      <c r="KA44" s="145">
        <f t="shared" si="71"/>
        <v>-0.40740740740740738</v>
      </c>
      <c r="KB44" s="145">
        <f t="shared" si="71"/>
        <v>6.25E-2</v>
      </c>
      <c r="KC44" s="145">
        <f t="shared" si="71"/>
        <v>0.41176470588235292</v>
      </c>
      <c r="KD44" s="145">
        <f t="shared" si="71"/>
        <v>-0.29166666666666669</v>
      </c>
      <c r="KE44" s="145">
        <f t="shared" si="71"/>
        <v>0.47058823529411764</v>
      </c>
      <c r="KF44" s="145">
        <f t="shared" si="71"/>
        <v>-0.08</v>
      </c>
      <c r="KG44" s="145">
        <f t="shared" si="71"/>
        <v>0.21739130434782608</v>
      </c>
      <c r="KH44" s="145">
        <f t="shared" si="71"/>
        <v>0.14285714285714285</v>
      </c>
      <c r="KI44" s="145">
        <f t="shared" si="72"/>
        <v>0.375</v>
      </c>
      <c r="KJ44" s="145">
        <f t="shared" si="72"/>
        <v>-0.20454545454545456</v>
      </c>
      <c r="KK44" s="145">
        <f t="shared" si="72"/>
        <v>-2.8571428571428571E-2</v>
      </c>
      <c r="KL44" s="145">
        <f t="shared" si="72"/>
        <v>-0.6470588235294118</v>
      </c>
      <c r="KM44" s="145">
        <f t="shared" si="72"/>
        <v>0.83333333333333337</v>
      </c>
      <c r="KN44" s="145">
        <f t="shared" si="72"/>
        <v>0</v>
      </c>
      <c r="KO44" s="145">
        <f t="shared" si="72"/>
        <v>-9.0909090909090912E-2</v>
      </c>
      <c r="KP44" s="145">
        <f t="shared" si="72"/>
        <v>-0.05</v>
      </c>
      <c r="KQ44" s="145">
        <f t="shared" si="72"/>
        <v>0.52631578947368418</v>
      </c>
      <c r="KR44" s="145">
        <f t="shared" si="72"/>
        <v>-0.44827586206896552</v>
      </c>
      <c r="KS44" s="145">
        <f t="shared" si="73"/>
        <v>0.625</v>
      </c>
      <c r="KT44" s="145">
        <f t="shared" si="73"/>
        <v>0.26923076923076922</v>
      </c>
      <c r="KU44" s="145">
        <f t="shared" si="73"/>
        <v>-0.24242424242424243</v>
      </c>
      <c r="KV44" s="145">
        <f t="shared" si="73"/>
        <v>0.04</v>
      </c>
      <c r="KW44" s="145">
        <f t="shared" si="73"/>
        <v>0.69230769230769229</v>
      </c>
      <c r="KX44" s="145">
        <f t="shared" si="73"/>
        <v>-0.63636363636363635</v>
      </c>
      <c r="KY44" s="145">
        <f t="shared" si="73"/>
        <v>1.0625</v>
      </c>
      <c r="KZ44" s="145">
        <f t="shared" si="73"/>
        <v>-0.12121212121212122</v>
      </c>
      <c r="LA44" s="145">
        <f t="shared" si="73"/>
        <v>-0.10344827586206896</v>
      </c>
      <c r="LB44" s="145">
        <f t="shared" si="73"/>
        <v>7.6923076923076927E-2</v>
      </c>
      <c r="LC44" s="145">
        <f t="shared" si="74"/>
        <v>0.2857142857142857</v>
      </c>
      <c r="LD44" s="145">
        <f t="shared" si="74"/>
        <v>-0.25</v>
      </c>
      <c r="LE44" s="145">
        <f t="shared" si="59"/>
        <v>-0.1111111111111111</v>
      </c>
      <c r="LF44" s="145">
        <f t="shared" si="59"/>
        <v>0.33333333333333331</v>
      </c>
      <c r="LG44" s="145">
        <f t="shared" si="59"/>
        <v>0.15625</v>
      </c>
      <c r="LH44" s="145">
        <f t="shared" si="59"/>
        <v>0</v>
      </c>
      <c r="LI44" s="145">
        <f t="shared" si="59"/>
        <v>0.43243243243243246</v>
      </c>
      <c r="LJ44" s="145">
        <f t="shared" si="59"/>
        <v>-0.37735849056603776</v>
      </c>
      <c r="LK44" s="145">
        <f t="shared" si="59"/>
        <v>-3.0303030303030304E-2</v>
      </c>
      <c r="LL44" s="145">
        <f t="shared" si="59"/>
        <v>0.1875</v>
      </c>
      <c r="LM44" s="145">
        <f t="shared" si="59"/>
        <v>-0.21052631578947367</v>
      </c>
      <c r="LN44" s="145">
        <f t="shared" si="59"/>
        <v>3.3333333333333333E-2</v>
      </c>
      <c r="LO44" s="145">
        <f t="shared" si="60"/>
        <v>-3.2258064516129031E-2</v>
      </c>
      <c r="LP44" s="145">
        <f t="shared" si="60"/>
        <v>0.16666666666666666</v>
      </c>
      <c r="LQ44" s="145">
        <f t="shared" si="60"/>
        <v>2.8571428571428571E-2</v>
      </c>
      <c r="LR44" s="145">
        <f t="shared" si="60"/>
        <v>0.55555555555555558</v>
      </c>
      <c r="LS44" s="145">
        <f t="shared" si="60"/>
        <v>-1.7857142857142856E-2</v>
      </c>
      <c r="LT44" s="145">
        <f t="shared" si="60"/>
        <v>0.10909090909090909</v>
      </c>
      <c r="LU44" s="145">
        <f t="shared" si="60"/>
        <v>4.9180327868852458E-2</v>
      </c>
      <c r="LV44" s="145">
        <f t="shared" si="60"/>
        <v>-0.3125</v>
      </c>
      <c r="LW44" s="145">
        <f t="shared" si="60"/>
        <v>-2.2727272727272728E-2</v>
      </c>
      <c r="LX44" s="145">
        <f t="shared" si="60"/>
        <v>-0.32558139534883723</v>
      </c>
      <c r="LY44" s="145">
        <f t="shared" si="61"/>
        <v>0.10344827586206896</v>
      </c>
      <c r="LZ44" s="145">
        <f t="shared" si="61"/>
        <v>9.375E-2</v>
      </c>
      <c r="MA44" s="145">
        <f t="shared" si="61"/>
        <v>0.17142857142857143</v>
      </c>
      <c r="MB44" s="145">
        <f t="shared" si="61"/>
        <v>-0.21951219512195122</v>
      </c>
      <c r="MC44" s="145">
        <f t="shared" si="61"/>
        <v>0.125</v>
      </c>
      <c r="MD44" s="145">
        <f t="shared" si="61"/>
        <v>-2.7777777777777776E-2</v>
      </c>
      <c r="ME44" s="145">
        <f t="shared" si="61"/>
        <v>0.4</v>
      </c>
      <c r="MF44" s="145">
        <f t="shared" si="61"/>
        <v>0.16326530612244897</v>
      </c>
      <c r="MG44" s="145">
        <f t="shared" si="61"/>
        <v>-0.15789473684210525</v>
      </c>
      <c r="MH44" s="145">
        <f t="shared" si="61"/>
        <v>-0.22916666666666666</v>
      </c>
      <c r="MI44" s="145">
        <f t="shared" si="62"/>
        <v>-0.24324324324324326</v>
      </c>
      <c r="MJ44" s="145">
        <f t="shared" si="62"/>
        <v>0.17857142857142858</v>
      </c>
      <c r="MK44" s="145">
        <f t="shared" si="62"/>
        <v>0</v>
      </c>
      <c r="ML44" s="145">
        <f t="shared" si="62"/>
        <v>0.39393939393939392</v>
      </c>
      <c r="MM44" s="145">
        <f t="shared" si="62"/>
        <v>0.28260869565217389</v>
      </c>
      <c r="MN44" s="145">
        <f t="shared" si="62"/>
        <v>-0.55932203389830504</v>
      </c>
      <c r="MO44" s="145">
        <f t="shared" si="62"/>
        <v>1.1923076923076923</v>
      </c>
      <c r="MP44" s="145">
        <f t="shared" si="62"/>
        <v>0.21052631578947367</v>
      </c>
      <c r="MQ44" s="145">
        <f t="shared" si="62"/>
        <v>-0.27536231884057971</v>
      </c>
      <c r="MR44" s="145">
        <f t="shared" si="62"/>
        <v>-0.34</v>
      </c>
      <c r="MS44" s="145">
        <f>(EZ44-EY44)/EY44</f>
        <v>0.25396825396825395</v>
      </c>
      <c r="MT44" s="145">
        <f t="shared" si="55"/>
        <v>0.20253164556962025</v>
      </c>
      <c r="MU44" s="145">
        <f t="shared" si="55"/>
        <v>2.4691358024691357E-2</v>
      </c>
      <c r="MV44" s="145">
        <f t="shared" si="55"/>
        <v>8.98876404494382E-2</v>
      </c>
      <c r="MW44" s="145">
        <f t="shared" si="55"/>
        <v>2.197802197802198E-2</v>
      </c>
      <c r="MX44" s="145">
        <f t="shared" si="55"/>
        <v>-0.10975609756097561</v>
      </c>
      <c r="MY44" s="145">
        <f t="shared" si="55"/>
        <v>0.34399999999999997</v>
      </c>
      <c r="MZ44" s="145">
        <f t="shared" si="55"/>
        <v>-0.66666666666666663</v>
      </c>
      <c r="NA44" s="145">
        <f t="shared" si="55"/>
        <v>0.23469387755102042</v>
      </c>
      <c r="NB44" s="145">
        <f t="shared" si="55"/>
        <v>0.11711711711711711</v>
      </c>
      <c r="NC44" s="145">
        <f t="shared" si="55"/>
        <v>-9.0909090909090905E-3</v>
      </c>
      <c r="ND44" s="145">
        <f t="shared" si="56"/>
        <v>0.10569105691056911</v>
      </c>
      <c r="NE44" s="145">
        <f t="shared" si="56"/>
        <v>-0.29473684210526313</v>
      </c>
      <c r="NF44" s="145">
        <f t="shared" si="56"/>
        <v>1.0416666666666666E-2</v>
      </c>
      <c r="NG44" s="145">
        <f t="shared" si="56"/>
        <v>-0.23076923076923078</v>
      </c>
      <c r="NH44" s="145">
        <f t="shared" si="56"/>
        <v>0.20408163265306123</v>
      </c>
      <c r="NI44" s="145">
        <f t="shared" si="56"/>
        <v>-0.27272727272727271</v>
      </c>
      <c r="NJ44" s="145">
        <f t="shared" si="56"/>
        <v>0.23</v>
      </c>
      <c r="NK44" s="145">
        <f t="shared" si="56"/>
        <v>9.9009900990099011E-3</v>
      </c>
      <c r="NL44" s="145">
        <f t="shared" si="56"/>
        <v>-0.42253521126760563</v>
      </c>
      <c r="NM44" s="145">
        <f t="shared" si="56"/>
        <v>0.14457831325301204</v>
      </c>
      <c r="NN44" s="145">
        <f t="shared" si="57"/>
        <v>0.33064516129032256</v>
      </c>
      <c r="NO44" s="145">
        <f t="shared" si="57"/>
        <v>-5.0847457627118647E-2</v>
      </c>
      <c r="NP44" s="145">
        <f t="shared" si="57"/>
        <v>-9.2592592592592587E-2</v>
      </c>
      <c r="NQ44" s="145">
        <f t="shared" si="57"/>
        <v>-5.8823529411764705E-2</v>
      </c>
      <c r="NR44" s="145">
        <f t="shared" si="57"/>
        <v>-0.43661971830985913</v>
      </c>
      <c r="NS44" s="145">
        <f t="shared" si="57"/>
        <v>-0.33962264150943394</v>
      </c>
      <c r="NT44" s="145">
        <f t="shared" si="57"/>
        <v>0.2318840579710145</v>
      </c>
      <c r="NU44" s="145">
        <f t="shared" si="57"/>
        <v>5.4794520547945202E-2</v>
      </c>
      <c r="NV44" s="145">
        <f t="shared" si="57"/>
        <v>-0.30357142857142855</v>
      </c>
      <c r="NW44" s="145">
        <f t="shared" si="57"/>
        <v>-0.47368421052631576</v>
      </c>
      <c r="NX44" s="145">
        <f t="shared" si="58"/>
        <v>0.05</v>
      </c>
      <c r="NY44" s="145">
        <f t="shared" si="58"/>
        <v>0.43661971830985913</v>
      </c>
      <c r="NZ44" s="145">
        <f t="shared" si="58"/>
        <v>0.29702970297029702</v>
      </c>
      <c r="OA44" s="145">
        <f t="shared" si="58"/>
        <v>-0.46376811594202899</v>
      </c>
      <c r="OB44" s="145">
        <f t="shared" si="58"/>
        <v>0.39473684210526316</v>
      </c>
      <c r="OC44" s="145">
        <f t="shared" si="58"/>
        <v>-0.2</v>
      </c>
      <c r="OD44" s="145">
        <f t="shared" si="58"/>
        <v>-0.35714285714285715</v>
      </c>
      <c r="OE44" s="145">
        <f t="shared" si="58"/>
        <v>6.6666666666666666E-2</v>
      </c>
      <c r="OF44" s="145">
        <f t="shared" si="58"/>
        <v>-0.29310344827586204</v>
      </c>
      <c r="OG44" s="145">
        <f t="shared" si="58"/>
        <v>0.1076923076923077</v>
      </c>
      <c r="OH44" s="145">
        <f t="shared" si="58"/>
        <v>8.4507042253521125E-2</v>
      </c>
      <c r="OI44" s="145">
        <f t="shared" si="58"/>
        <v>-0.69047619047619047</v>
      </c>
      <c r="OJ44" s="145">
        <f t="shared" si="58"/>
        <v>0.125</v>
      </c>
      <c r="OK44" s="145">
        <f t="shared" si="58"/>
        <v>0.323943661971831</v>
      </c>
      <c r="OL44" s="145">
        <f t="shared" si="58"/>
        <v>-1.4285714285714285E-2</v>
      </c>
    </row>
    <row r="45" spans="1:402" s="145" customFormat="1" ht="19.5" customHeight="1" x14ac:dyDescent="0.35">
      <c r="A45" s="12" t="s">
        <v>34</v>
      </c>
      <c r="B45" s="156">
        <v>21</v>
      </c>
      <c r="C45" s="156">
        <v>33</v>
      </c>
      <c r="D45" s="156">
        <v>30</v>
      </c>
      <c r="E45" s="156">
        <v>52</v>
      </c>
      <c r="F45" s="156">
        <f>'[1]Jan 08'!C19</f>
        <v>26</v>
      </c>
      <c r="G45" s="143">
        <f>'[1]Feb 08'!C19</f>
        <v>12</v>
      </c>
      <c r="H45" s="143">
        <f>'[1]Mar 08'!C19</f>
        <v>28</v>
      </c>
      <c r="I45" s="143">
        <v>32</v>
      </c>
      <c r="J45" s="143">
        <f>'[1]May 08'!C19</f>
        <v>22</v>
      </c>
      <c r="K45" s="143">
        <f>'[1]Jun 08'!C19</f>
        <v>45</v>
      </c>
      <c r="L45" s="143">
        <f>'[1]Jul 08'!C19</f>
        <v>20</v>
      </c>
      <c r="M45" s="143">
        <v>27</v>
      </c>
      <c r="N45" s="143">
        <v>33</v>
      </c>
      <c r="O45" s="143">
        <v>21</v>
      </c>
      <c r="P45" s="143">
        <v>23</v>
      </c>
      <c r="Q45" s="143">
        <v>48</v>
      </c>
      <c r="R45" s="143">
        <v>23</v>
      </c>
      <c r="S45" s="143">
        <v>15</v>
      </c>
      <c r="T45" s="143">
        <v>30</v>
      </c>
      <c r="U45" s="143">
        <v>27</v>
      </c>
      <c r="V45" s="143">
        <v>30</v>
      </c>
      <c r="W45" s="143">
        <v>34</v>
      </c>
      <c r="X45" s="143">
        <v>23</v>
      </c>
      <c r="Y45" s="143">
        <v>9</v>
      </c>
      <c r="Z45" s="143">
        <v>14</v>
      </c>
      <c r="AA45" s="143">
        <v>12</v>
      </c>
      <c r="AB45" s="143">
        <v>7</v>
      </c>
      <c r="AC45" s="143">
        <v>25</v>
      </c>
      <c r="AD45" s="143">
        <v>7</v>
      </c>
      <c r="AE45" s="143">
        <v>12</v>
      </c>
      <c r="AF45" s="143">
        <v>5</v>
      </c>
      <c r="AG45" s="143">
        <v>5</v>
      </c>
      <c r="AH45" s="143">
        <v>18</v>
      </c>
      <c r="AI45" s="143">
        <v>24</v>
      </c>
      <c r="AJ45" s="143">
        <v>12</v>
      </c>
      <c r="AK45" s="143">
        <v>11</v>
      </c>
      <c r="AL45" s="143">
        <v>15</v>
      </c>
      <c r="AM45" s="143">
        <v>12</v>
      </c>
      <c r="AN45" s="143">
        <v>3</v>
      </c>
      <c r="AO45" s="143">
        <v>6</v>
      </c>
      <c r="AP45" s="143">
        <v>8</v>
      </c>
      <c r="AQ45" s="143">
        <v>2</v>
      </c>
      <c r="AR45" s="143">
        <v>10</v>
      </c>
      <c r="AS45" s="143">
        <v>5</v>
      </c>
      <c r="AT45" s="143">
        <v>12</v>
      </c>
      <c r="AU45" s="143">
        <v>20</v>
      </c>
      <c r="AV45" s="143">
        <v>7</v>
      </c>
      <c r="AW45" s="143">
        <v>6</v>
      </c>
      <c r="AX45" s="143">
        <v>2</v>
      </c>
      <c r="AY45" s="143">
        <v>9</v>
      </c>
      <c r="AZ45" s="143">
        <v>3</v>
      </c>
      <c r="BA45" s="143">
        <v>11</v>
      </c>
      <c r="BB45" s="143">
        <v>3</v>
      </c>
      <c r="BC45" s="143">
        <v>6</v>
      </c>
      <c r="BD45" s="143">
        <v>11</v>
      </c>
      <c r="BE45" s="143">
        <v>6</v>
      </c>
      <c r="BF45" s="143">
        <v>14</v>
      </c>
      <c r="BG45" s="143">
        <v>7</v>
      </c>
      <c r="BH45" s="143">
        <v>11</v>
      </c>
      <c r="BI45" s="143">
        <v>4</v>
      </c>
      <c r="BJ45" s="143">
        <v>4</v>
      </c>
      <c r="BK45" s="143">
        <v>3</v>
      </c>
      <c r="BL45" s="143">
        <v>3</v>
      </c>
      <c r="BM45" s="143">
        <v>7</v>
      </c>
      <c r="BN45" s="143">
        <v>2</v>
      </c>
      <c r="BO45" s="143">
        <v>0</v>
      </c>
      <c r="BP45" s="143">
        <v>2</v>
      </c>
      <c r="BQ45" s="143">
        <v>4</v>
      </c>
      <c r="BR45" s="143">
        <v>13</v>
      </c>
      <c r="BS45" s="143">
        <v>9</v>
      </c>
      <c r="BT45" s="143">
        <v>3</v>
      </c>
      <c r="BU45" s="143">
        <v>3</v>
      </c>
      <c r="BV45" s="143">
        <v>6</v>
      </c>
      <c r="BW45" s="143">
        <v>3</v>
      </c>
      <c r="BX45" s="143">
        <v>2</v>
      </c>
      <c r="BY45" s="143">
        <v>5</v>
      </c>
      <c r="BZ45" s="143">
        <v>4</v>
      </c>
      <c r="CA45" s="143">
        <v>6</v>
      </c>
      <c r="CB45" s="143">
        <v>6</v>
      </c>
      <c r="CC45" s="143">
        <v>7</v>
      </c>
      <c r="CD45" s="143">
        <v>11</v>
      </c>
      <c r="CE45" s="143">
        <v>14</v>
      </c>
      <c r="CF45" s="143">
        <v>7</v>
      </c>
      <c r="CG45" s="143">
        <v>3</v>
      </c>
      <c r="CH45" s="143">
        <v>10</v>
      </c>
      <c r="CI45" s="143">
        <v>10</v>
      </c>
      <c r="CJ45" s="143">
        <v>7</v>
      </c>
      <c r="CK45" s="143">
        <v>15</v>
      </c>
      <c r="CL45" s="143">
        <v>8</v>
      </c>
      <c r="CM45" s="143">
        <v>11</v>
      </c>
      <c r="CN45" s="143">
        <v>6</v>
      </c>
      <c r="CO45" s="143">
        <v>5</v>
      </c>
      <c r="CP45" s="143">
        <v>15</v>
      </c>
      <c r="CQ45" s="143">
        <v>22</v>
      </c>
      <c r="CR45" s="143">
        <v>6</v>
      </c>
      <c r="CS45" s="143">
        <v>10</v>
      </c>
      <c r="CT45" s="143">
        <v>5</v>
      </c>
      <c r="CU45" s="143">
        <v>7</v>
      </c>
      <c r="CV45" s="143">
        <v>1</v>
      </c>
      <c r="CW45" s="143">
        <v>12</v>
      </c>
      <c r="CX45" s="143">
        <v>3</v>
      </c>
      <c r="CY45" s="143">
        <v>6</v>
      </c>
      <c r="CZ45" s="143">
        <v>6</v>
      </c>
      <c r="DA45" s="143">
        <v>8</v>
      </c>
      <c r="DB45" s="143">
        <v>13</v>
      </c>
      <c r="DC45" s="143">
        <v>17</v>
      </c>
      <c r="DD45" s="143">
        <v>9</v>
      </c>
      <c r="DE45" s="143">
        <v>7</v>
      </c>
      <c r="DF45" s="143">
        <v>8</v>
      </c>
      <c r="DG45" s="143">
        <v>8</v>
      </c>
      <c r="DH45" s="143">
        <v>7</v>
      </c>
      <c r="DI45" s="143">
        <v>15</v>
      </c>
      <c r="DJ45" s="143">
        <v>10</v>
      </c>
      <c r="DK45" s="143">
        <v>6</v>
      </c>
      <c r="DL45" s="143">
        <v>9</v>
      </c>
      <c r="DM45" s="143">
        <v>12</v>
      </c>
      <c r="DN45" s="143">
        <v>20</v>
      </c>
      <c r="DO45" s="143">
        <v>20</v>
      </c>
      <c r="DP45" s="143">
        <v>14</v>
      </c>
      <c r="DQ45" s="143">
        <v>6</v>
      </c>
      <c r="DR45" s="143">
        <v>10</v>
      </c>
      <c r="DS45" s="143">
        <v>3</v>
      </c>
      <c r="DT45" s="143">
        <v>4</v>
      </c>
      <c r="DU45" s="143">
        <v>20</v>
      </c>
      <c r="DV45" s="143">
        <v>5</v>
      </c>
      <c r="DW45" s="143">
        <v>7</v>
      </c>
      <c r="DX45" s="143">
        <v>8</v>
      </c>
      <c r="DY45" s="143">
        <v>11</v>
      </c>
      <c r="DZ45" s="143">
        <v>10</v>
      </c>
      <c r="EA45" s="143">
        <v>16</v>
      </c>
      <c r="EB45" s="143">
        <v>8</v>
      </c>
      <c r="EC45" s="143">
        <v>5</v>
      </c>
      <c r="ED45" s="143">
        <v>5</v>
      </c>
      <c r="EE45" s="143">
        <v>4</v>
      </c>
      <c r="EF45" s="143">
        <v>4</v>
      </c>
      <c r="EG45" s="143">
        <v>10</v>
      </c>
      <c r="EH45" s="143">
        <v>3</v>
      </c>
      <c r="EI45" s="143">
        <v>3</v>
      </c>
      <c r="EJ45" s="143">
        <v>5</v>
      </c>
      <c r="EK45" s="143">
        <v>12</v>
      </c>
      <c r="EL45" s="143">
        <v>10</v>
      </c>
      <c r="EM45" s="143">
        <v>10</v>
      </c>
      <c r="EN45" s="143">
        <v>11</v>
      </c>
      <c r="EO45" s="143">
        <v>4</v>
      </c>
      <c r="EP45" s="143">
        <v>2</v>
      </c>
      <c r="EQ45" s="143">
        <v>5</v>
      </c>
      <c r="ER45" s="143">
        <v>4</v>
      </c>
      <c r="ES45" s="143">
        <v>7</v>
      </c>
      <c r="ET45" s="143">
        <v>8</v>
      </c>
      <c r="EU45" s="143">
        <v>3</v>
      </c>
      <c r="EV45" s="143">
        <v>4</v>
      </c>
      <c r="EW45" s="143">
        <v>4</v>
      </c>
      <c r="EX45" s="143">
        <v>9</v>
      </c>
      <c r="EY45" s="143">
        <v>8</v>
      </c>
      <c r="EZ45" s="143">
        <v>4</v>
      </c>
      <c r="FA45" s="143">
        <v>6</v>
      </c>
      <c r="FB45" s="143">
        <v>3</v>
      </c>
      <c r="FC45" s="143">
        <v>1</v>
      </c>
      <c r="FD45" s="143">
        <v>0</v>
      </c>
      <c r="FE45" s="143">
        <v>3</v>
      </c>
      <c r="FF45" s="143">
        <v>1</v>
      </c>
      <c r="FG45" s="143">
        <v>3</v>
      </c>
      <c r="FH45" s="143">
        <v>2</v>
      </c>
      <c r="FI45" s="143">
        <v>2</v>
      </c>
      <c r="FJ45" s="143">
        <v>3</v>
      </c>
      <c r="FK45" s="143">
        <v>2</v>
      </c>
      <c r="FL45" s="143">
        <v>1</v>
      </c>
      <c r="FM45" s="143">
        <v>3</v>
      </c>
      <c r="FN45" s="143">
        <v>3</v>
      </c>
      <c r="FO45" s="143">
        <v>3</v>
      </c>
      <c r="FP45" s="143">
        <v>2</v>
      </c>
      <c r="FQ45" s="143">
        <v>5</v>
      </c>
      <c r="FR45" s="143">
        <v>1</v>
      </c>
      <c r="FS45" s="143">
        <v>0</v>
      </c>
      <c r="FT45" s="143">
        <v>1</v>
      </c>
      <c r="FU45" s="143">
        <v>3</v>
      </c>
      <c r="FV45" s="143">
        <v>1</v>
      </c>
      <c r="FW45" s="143">
        <v>7</v>
      </c>
      <c r="FX45" s="143">
        <v>7</v>
      </c>
      <c r="FY45" s="143">
        <v>17</v>
      </c>
      <c r="FZ45" s="143">
        <v>10</v>
      </c>
      <c r="GA45" s="143">
        <v>6</v>
      </c>
      <c r="GB45" s="143">
        <v>11</v>
      </c>
      <c r="GC45" s="143">
        <v>19</v>
      </c>
      <c r="GD45" s="143">
        <v>4</v>
      </c>
      <c r="GE45" s="143">
        <v>8</v>
      </c>
      <c r="GF45" s="143">
        <v>9</v>
      </c>
      <c r="GG45" s="143">
        <v>6</v>
      </c>
      <c r="GH45" s="143">
        <v>9</v>
      </c>
      <c r="GI45" s="143">
        <v>6</v>
      </c>
      <c r="GJ45" s="143">
        <v>11</v>
      </c>
      <c r="GK45" s="143">
        <v>7</v>
      </c>
      <c r="GL45" s="143">
        <v>3</v>
      </c>
      <c r="GM45" s="143">
        <v>4</v>
      </c>
      <c r="GN45" s="143">
        <v>1</v>
      </c>
      <c r="GO45" s="143">
        <v>9</v>
      </c>
      <c r="GP45" s="143">
        <v>3</v>
      </c>
      <c r="GQ45" s="143">
        <v>2</v>
      </c>
      <c r="GR45" s="143">
        <v>5</v>
      </c>
      <c r="GS45" s="143">
        <f>SUM(B45:GR45)/198</f>
        <v>9.8434343434343443</v>
      </c>
      <c r="GT45" s="152"/>
      <c r="GU45" s="12" t="s">
        <v>34</v>
      </c>
      <c r="GV45" s="145" t="s">
        <v>30</v>
      </c>
      <c r="GW45" s="145">
        <f t="shared" si="63"/>
        <v>0.5714285714285714</v>
      </c>
      <c r="GX45" s="145">
        <f t="shared" si="63"/>
        <v>-9.0909090909090912E-2</v>
      </c>
      <c r="GY45" s="145">
        <f t="shared" si="63"/>
        <v>0.73333333333333328</v>
      </c>
      <c r="GZ45" s="145">
        <f t="shared" si="63"/>
        <v>-0.5</v>
      </c>
      <c r="HA45" s="145">
        <f t="shared" si="63"/>
        <v>-0.53846153846153844</v>
      </c>
      <c r="HB45" s="145">
        <f t="shared" si="63"/>
        <v>1.3333333333333333</v>
      </c>
      <c r="HC45" s="145">
        <f t="shared" si="63"/>
        <v>0.14285714285714285</v>
      </c>
      <c r="HD45" s="145">
        <f t="shared" si="63"/>
        <v>-0.3125</v>
      </c>
      <c r="HE45" s="145">
        <f t="shared" si="63"/>
        <v>1.0454545454545454</v>
      </c>
      <c r="HF45" s="145">
        <f t="shared" si="63"/>
        <v>-0.55555555555555558</v>
      </c>
      <c r="HG45" s="145">
        <f t="shared" si="64"/>
        <v>0.35</v>
      </c>
      <c r="HH45" s="145">
        <f t="shared" si="64"/>
        <v>0.22222222222222221</v>
      </c>
      <c r="HI45" s="145">
        <f t="shared" si="64"/>
        <v>-0.36363636363636365</v>
      </c>
      <c r="HJ45" s="145">
        <f t="shared" si="64"/>
        <v>9.5238095238095233E-2</v>
      </c>
      <c r="HK45" s="145">
        <f t="shared" si="64"/>
        <v>1.0869565217391304</v>
      </c>
      <c r="HL45" s="145">
        <f t="shared" si="64"/>
        <v>-0.52083333333333337</v>
      </c>
      <c r="HM45" s="145">
        <f t="shared" si="64"/>
        <v>-0.34782608695652173</v>
      </c>
      <c r="HN45" s="145">
        <f t="shared" si="64"/>
        <v>1</v>
      </c>
      <c r="HO45" s="145">
        <f t="shared" si="64"/>
        <v>-0.1</v>
      </c>
      <c r="HP45" s="145">
        <f t="shared" si="64"/>
        <v>0.1111111111111111</v>
      </c>
      <c r="HQ45" s="145">
        <f t="shared" si="65"/>
        <v>0.13333333333333333</v>
      </c>
      <c r="HR45" s="145">
        <f t="shared" si="65"/>
        <v>-0.3235294117647059</v>
      </c>
      <c r="HS45" s="145">
        <f t="shared" si="65"/>
        <v>-0.60869565217391308</v>
      </c>
      <c r="HT45" s="145">
        <f t="shared" si="65"/>
        <v>0.55555555555555558</v>
      </c>
      <c r="HU45" s="145">
        <f t="shared" si="65"/>
        <v>-0.14285714285714285</v>
      </c>
      <c r="HV45" s="145">
        <f t="shared" si="65"/>
        <v>-0.41666666666666669</v>
      </c>
      <c r="HW45" s="145">
        <f t="shared" si="65"/>
        <v>2.5714285714285716</v>
      </c>
      <c r="HX45" s="145">
        <f t="shared" si="65"/>
        <v>-0.72</v>
      </c>
      <c r="HY45" s="145">
        <f t="shared" si="65"/>
        <v>0.7142857142857143</v>
      </c>
      <c r="HZ45" s="145">
        <f t="shared" si="65"/>
        <v>-0.58333333333333337</v>
      </c>
      <c r="IA45" s="145">
        <f t="shared" si="66"/>
        <v>0</v>
      </c>
      <c r="IB45" s="145">
        <f t="shared" si="66"/>
        <v>2.6</v>
      </c>
      <c r="IC45" s="145">
        <f t="shared" si="66"/>
        <v>0.33333333333333331</v>
      </c>
      <c r="ID45" s="145">
        <f t="shared" si="66"/>
        <v>-0.5</v>
      </c>
      <c r="IE45" s="145">
        <f t="shared" si="66"/>
        <v>-8.3333333333333329E-2</v>
      </c>
      <c r="IF45" s="145">
        <f t="shared" si="66"/>
        <v>0.36363636363636365</v>
      </c>
      <c r="IG45" s="145">
        <f t="shared" si="66"/>
        <v>-0.2</v>
      </c>
      <c r="IH45" s="145">
        <f t="shared" si="66"/>
        <v>-0.75</v>
      </c>
      <c r="II45" s="145">
        <f t="shared" si="66"/>
        <v>1</v>
      </c>
      <c r="IJ45" s="145">
        <f t="shared" si="66"/>
        <v>0.33333333333333331</v>
      </c>
      <c r="IK45" s="145">
        <f t="shared" si="67"/>
        <v>-0.75</v>
      </c>
      <c r="IL45" s="145">
        <f t="shared" si="67"/>
        <v>4</v>
      </c>
      <c r="IM45" s="145">
        <f t="shared" si="67"/>
        <v>-0.5</v>
      </c>
      <c r="IN45" s="145">
        <f t="shared" si="67"/>
        <v>1.4</v>
      </c>
      <c r="IO45" s="145">
        <f t="shared" si="67"/>
        <v>0.66666666666666663</v>
      </c>
      <c r="IP45" s="145">
        <f t="shared" si="67"/>
        <v>-0.65</v>
      </c>
      <c r="IQ45" s="145">
        <f t="shared" si="67"/>
        <v>-0.14285714285714285</v>
      </c>
      <c r="IR45" s="145">
        <f t="shared" si="67"/>
        <v>-0.66666666666666663</v>
      </c>
      <c r="IS45" s="145">
        <f t="shared" si="67"/>
        <v>3.5</v>
      </c>
      <c r="IT45" s="145">
        <f t="shared" si="67"/>
        <v>-0.66666666666666663</v>
      </c>
      <c r="IU45" s="145">
        <f t="shared" si="68"/>
        <v>2.6666666666666665</v>
      </c>
      <c r="IV45" s="145">
        <f t="shared" si="68"/>
        <v>-0.72727272727272729</v>
      </c>
      <c r="IW45" s="145">
        <f t="shared" si="68"/>
        <v>1</v>
      </c>
      <c r="IX45" s="145">
        <f t="shared" si="68"/>
        <v>0.83333333333333337</v>
      </c>
      <c r="IY45" s="145">
        <f t="shared" si="68"/>
        <v>-0.45454545454545453</v>
      </c>
      <c r="IZ45" s="145">
        <f t="shared" si="68"/>
        <v>1.3333333333333333</v>
      </c>
      <c r="JA45" s="145">
        <f t="shared" si="68"/>
        <v>-0.5</v>
      </c>
      <c r="JB45" s="145">
        <f t="shared" si="68"/>
        <v>0.5714285714285714</v>
      </c>
      <c r="JC45" s="145">
        <f t="shared" si="68"/>
        <v>-0.63636363636363635</v>
      </c>
      <c r="JD45" s="145">
        <f t="shared" si="68"/>
        <v>0</v>
      </c>
      <c r="JE45" s="145">
        <f t="shared" si="69"/>
        <v>-0.25</v>
      </c>
      <c r="JF45" s="145">
        <f t="shared" si="69"/>
        <v>0</v>
      </c>
      <c r="JG45" s="145">
        <f t="shared" si="69"/>
        <v>1.3333333333333333</v>
      </c>
      <c r="JH45" s="145">
        <f t="shared" si="69"/>
        <v>-0.7142857142857143</v>
      </c>
      <c r="JI45" s="145">
        <f t="shared" si="69"/>
        <v>-1</v>
      </c>
      <c r="JJ45" s="145" t="e">
        <f t="shared" si="69"/>
        <v>#DIV/0!</v>
      </c>
      <c r="JK45" s="145">
        <f t="shared" si="69"/>
        <v>1</v>
      </c>
      <c r="JL45" s="145">
        <f t="shared" si="69"/>
        <v>2.25</v>
      </c>
      <c r="JM45" s="145">
        <f t="shared" si="69"/>
        <v>-0.30769230769230771</v>
      </c>
      <c r="JN45" s="145">
        <f t="shared" si="69"/>
        <v>-0.66666666666666663</v>
      </c>
      <c r="JO45" s="145">
        <f t="shared" si="70"/>
        <v>0</v>
      </c>
      <c r="JP45" s="145">
        <f t="shared" si="70"/>
        <v>1</v>
      </c>
      <c r="JQ45" s="145">
        <f t="shared" si="70"/>
        <v>-0.5</v>
      </c>
      <c r="JR45" s="145">
        <f t="shared" si="70"/>
        <v>-0.33333333333333331</v>
      </c>
      <c r="JS45" s="145">
        <f t="shared" si="70"/>
        <v>1.5</v>
      </c>
      <c r="JT45" s="145">
        <f t="shared" si="70"/>
        <v>-0.2</v>
      </c>
      <c r="JU45" s="145">
        <f t="shared" si="70"/>
        <v>0.5</v>
      </c>
      <c r="JV45" s="145">
        <f t="shared" si="70"/>
        <v>0</v>
      </c>
      <c r="JW45" s="145">
        <f t="shared" si="70"/>
        <v>0.16666666666666666</v>
      </c>
      <c r="JX45" s="145">
        <f t="shared" si="70"/>
        <v>0.5714285714285714</v>
      </c>
      <c r="JY45" s="145">
        <f t="shared" si="71"/>
        <v>0.27272727272727271</v>
      </c>
      <c r="JZ45" s="145">
        <f t="shared" si="71"/>
        <v>-0.5</v>
      </c>
      <c r="KA45" s="145">
        <f t="shared" si="71"/>
        <v>-0.5714285714285714</v>
      </c>
      <c r="KB45" s="145">
        <f t="shared" si="71"/>
        <v>2.3333333333333335</v>
      </c>
      <c r="KC45" s="145">
        <f t="shared" si="71"/>
        <v>0</v>
      </c>
      <c r="KD45" s="145">
        <f t="shared" si="71"/>
        <v>-0.3</v>
      </c>
      <c r="KE45" s="145">
        <f t="shared" si="71"/>
        <v>1.1428571428571428</v>
      </c>
      <c r="KF45" s="145">
        <f t="shared" si="71"/>
        <v>-0.46666666666666667</v>
      </c>
      <c r="KG45" s="145">
        <f t="shared" si="71"/>
        <v>0.375</v>
      </c>
      <c r="KH45" s="145">
        <f t="shared" si="71"/>
        <v>-0.45454545454545453</v>
      </c>
      <c r="KI45" s="145">
        <f t="shared" si="72"/>
        <v>-0.16666666666666666</v>
      </c>
      <c r="KJ45" s="145">
        <f t="shared" si="72"/>
        <v>2</v>
      </c>
      <c r="KK45" s="145">
        <f t="shared" si="72"/>
        <v>0.46666666666666667</v>
      </c>
      <c r="KL45" s="145">
        <f t="shared" si="72"/>
        <v>-0.72727272727272729</v>
      </c>
      <c r="KM45" s="145">
        <f t="shared" si="72"/>
        <v>0.66666666666666663</v>
      </c>
      <c r="KN45" s="145">
        <f t="shared" si="72"/>
        <v>-0.5</v>
      </c>
      <c r="KO45" s="145">
        <f t="shared" si="72"/>
        <v>0.4</v>
      </c>
      <c r="KP45" s="145">
        <f t="shared" si="72"/>
        <v>-0.8571428571428571</v>
      </c>
      <c r="KQ45" s="145">
        <f t="shared" si="72"/>
        <v>11</v>
      </c>
      <c r="KR45" s="145">
        <f t="shared" si="72"/>
        <v>-0.75</v>
      </c>
      <c r="KS45" s="145">
        <f t="shared" si="73"/>
        <v>1</v>
      </c>
      <c r="KT45" s="145">
        <f t="shared" si="73"/>
        <v>0</v>
      </c>
      <c r="KU45" s="145">
        <f t="shared" si="73"/>
        <v>0.33333333333333331</v>
      </c>
      <c r="KV45" s="145">
        <f t="shared" si="73"/>
        <v>0.625</v>
      </c>
      <c r="KW45" s="145">
        <f t="shared" si="73"/>
        <v>0.30769230769230771</v>
      </c>
      <c r="KX45" s="145">
        <f t="shared" si="73"/>
        <v>-0.47058823529411764</v>
      </c>
      <c r="KY45" s="145">
        <f t="shared" si="73"/>
        <v>-0.22222222222222221</v>
      </c>
      <c r="KZ45" s="145">
        <f t="shared" si="73"/>
        <v>0.14285714285714285</v>
      </c>
      <c r="LA45" s="145">
        <f t="shared" si="73"/>
        <v>0</v>
      </c>
      <c r="LB45" s="145">
        <f t="shared" si="73"/>
        <v>-0.125</v>
      </c>
      <c r="LC45" s="145">
        <f t="shared" si="74"/>
        <v>1.1428571428571428</v>
      </c>
      <c r="LD45" s="145">
        <f t="shared" si="74"/>
        <v>-0.33333333333333331</v>
      </c>
      <c r="LE45" s="145">
        <f t="shared" si="59"/>
        <v>-0.4</v>
      </c>
      <c r="LF45" s="145">
        <f t="shared" si="59"/>
        <v>0.5</v>
      </c>
      <c r="LG45" s="145">
        <f t="shared" si="59"/>
        <v>0.33333333333333331</v>
      </c>
      <c r="LH45" s="145">
        <f t="shared" si="59"/>
        <v>0.66666666666666663</v>
      </c>
      <c r="LI45" s="145">
        <f t="shared" si="59"/>
        <v>0</v>
      </c>
      <c r="LJ45" s="145">
        <f t="shared" si="59"/>
        <v>-0.3</v>
      </c>
      <c r="LK45" s="145">
        <f t="shared" si="59"/>
        <v>-0.5714285714285714</v>
      </c>
      <c r="LL45" s="145">
        <f t="shared" si="59"/>
        <v>0.66666666666666663</v>
      </c>
      <c r="LM45" s="145">
        <f t="shared" si="59"/>
        <v>-0.7</v>
      </c>
      <c r="LN45" s="145">
        <f t="shared" si="59"/>
        <v>0.33333333333333331</v>
      </c>
      <c r="LO45" s="145">
        <f t="shared" si="60"/>
        <v>4</v>
      </c>
      <c r="LP45" s="145">
        <f t="shared" si="60"/>
        <v>-0.75</v>
      </c>
      <c r="LQ45" s="145">
        <f t="shared" si="60"/>
        <v>0.4</v>
      </c>
      <c r="LR45" s="145">
        <f t="shared" si="60"/>
        <v>0.14285714285714285</v>
      </c>
      <c r="LS45" s="145">
        <f t="shared" si="60"/>
        <v>0.375</v>
      </c>
      <c r="LT45" s="145">
        <f t="shared" si="60"/>
        <v>-9.0909090909090912E-2</v>
      </c>
      <c r="LU45" s="145">
        <f t="shared" si="60"/>
        <v>0.6</v>
      </c>
      <c r="LV45" s="145">
        <f t="shared" si="60"/>
        <v>-0.5</v>
      </c>
      <c r="LW45" s="145">
        <f t="shared" si="60"/>
        <v>-0.375</v>
      </c>
      <c r="LX45" s="145">
        <f t="shared" si="60"/>
        <v>0</v>
      </c>
      <c r="LY45" s="145">
        <f t="shared" si="61"/>
        <v>-0.2</v>
      </c>
      <c r="LZ45" s="145">
        <f t="shared" si="61"/>
        <v>0</v>
      </c>
      <c r="MA45" s="145">
        <f t="shared" si="61"/>
        <v>1.5</v>
      </c>
      <c r="MB45" s="145">
        <f t="shared" si="61"/>
        <v>-0.7</v>
      </c>
      <c r="MC45" s="145">
        <f t="shared" si="61"/>
        <v>0</v>
      </c>
      <c r="MD45" s="145">
        <f t="shared" si="61"/>
        <v>0.66666666666666663</v>
      </c>
      <c r="ME45" s="145">
        <f t="shared" si="61"/>
        <v>1.4</v>
      </c>
      <c r="MF45" s="145">
        <f t="shared" si="61"/>
        <v>-0.16666666666666666</v>
      </c>
      <c r="MG45" s="145">
        <f t="shared" si="61"/>
        <v>0</v>
      </c>
      <c r="MH45" s="145">
        <f t="shared" si="61"/>
        <v>0.1</v>
      </c>
      <c r="MI45" s="145">
        <f t="shared" si="62"/>
        <v>-0.63636363636363635</v>
      </c>
      <c r="MJ45" s="145">
        <f t="shared" si="62"/>
        <v>-0.5</v>
      </c>
      <c r="MK45" s="145">
        <f t="shared" si="62"/>
        <v>1.5</v>
      </c>
      <c r="ML45" s="145">
        <f t="shared" si="62"/>
        <v>-0.2</v>
      </c>
      <c r="MM45" s="145">
        <f t="shared" si="62"/>
        <v>0.75</v>
      </c>
      <c r="MN45" s="145">
        <f t="shared" si="62"/>
        <v>0.14285714285714285</v>
      </c>
      <c r="MO45" s="145">
        <f t="shared" si="62"/>
        <v>-0.625</v>
      </c>
      <c r="MP45" s="145">
        <f t="shared" si="62"/>
        <v>0.33333333333333331</v>
      </c>
      <c r="MQ45" s="145">
        <f t="shared" si="62"/>
        <v>0</v>
      </c>
      <c r="MR45" s="145">
        <f t="shared" si="62"/>
        <v>1.25</v>
      </c>
      <c r="MS45" s="145">
        <f>(EZ45-EY45)/EY45</f>
        <v>-0.5</v>
      </c>
      <c r="MT45" s="145">
        <f t="shared" si="55"/>
        <v>-1</v>
      </c>
      <c r="MU45" s="145">
        <f t="shared" si="55"/>
        <v>0.33333333333333331</v>
      </c>
      <c r="MV45" s="145">
        <f t="shared" si="55"/>
        <v>-1</v>
      </c>
      <c r="MW45" s="145">
        <f t="shared" si="55"/>
        <v>-2</v>
      </c>
      <c r="MX45" s="145" t="e">
        <f t="shared" si="55"/>
        <v>#DIV/0!</v>
      </c>
      <c r="MY45" s="145">
        <f t="shared" si="55"/>
        <v>1</v>
      </c>
      <c r="MZ45" s="145">
        <f t="shared" si="55"/>
        <v>-2</v>
      </c>
      <c r="NA45" s="145">
        <f t="shared" si="55"/>
        <v>0.66666666666666663</v>
      </c>
      <c r="NB45" s="145">
        <f t="shared" si="55"/>
        <v>-0.5</v>
      </c>
      <c r="NC45" s="145">
        <f t="shared" si="55"/>
        <v>0</v>
      </c>
      <c r="ND45" s="145">
        <f t="shared" si="56"/>
        <v>0.33333333333333331</v>
      </c>
      <c r="NE45" s="145">
        <f t="shared" si="56"/>
        <v>-0.5</v>
      </c>
      <c r="NF45" s="145">
        <f t="shared" si="56"/>
        <v>-1</v>
      </c>
      <c r="NG45" s="145">
        <f t="shared" si="56"/>
        <v>0.66666666666666663</v>
      </c>
      <c r="NH45" s="145">
        <f t="shared" si="56"/>
        <v>0</v>
      </c>
      <c r="NI45" s="145">
        <f t="shared" si="56"/>
        <v>0</v>
      </c>
      <c r="NJ45" s="145">
        <f t="shared" si="56"/>
        <v>-0.5</v>
      </c>
      <c r="NK45" s="145">
        <f t="shared" si="56"/>
        <v>0.6</v>
      </c>
      <c r="NL45" s="145">
        <f t="shared" si="56"/>
        <v>-4</v>
      </c>
      <c r="NM45" s="145" t="e">
        <f t="shared" si="56"/>
        <v>#DIV/0!</v>
      </c>
      <c r="NN45" s="145">
        <f t="shared" si="57"/>
        <v>1</v>
      </c>
      <c r="NO45" s="145">
        <f t="shared" si="57"/>
        <v>0.66666666666666663</v>
      </c>
      <c r="NP45" s="145">
        <f t="shared" si="57"/>
        <v>-2</v>
      </c>
      <c r="NQ45" s="145">
        <f t="shared" si="57"/>
        <v>0.8571428571428571</v>
      </c>
      <c r="NR45" s="145">
        <f t="shared" si="57"/>
        <v>0</v>
      </c>
      <c r="NS45" s="145">
        <f t="shared" si="57"/>
        <v>0.58823529411764708</v>
      </c>
      <c r="NT45" s="145">
        <f t="shared" si="57"/>
        <v>-0.7</v>
      </c>
      <c r="NU45" s="145">
        <f t="shared" si="57"/>
        <v>-0.66666666666666663</v>
      </c>
      <c r="NV45" s="145">
        <f t="shared" si="57"/>
        <v>0.45454545454545453</v>
      </c>
      <c r="NW45" s="145">
        <f t="shared" si="57"/>
        <v>0.42105263157894735</v>
      </c>
      <c r="NX45" s="145">
        <f t="shared" si="58"/>
        <v>-3.75</v>
      </c>
      <c r="NY45" s="145">
        <f t="shared" si="58"/>
        <v>0.5</v>
      </c>
      <c r="NZ45" s="145">
        <f t="shared" si="58"/>
        <v>0.1111111111111111</v>
      </c>
      <c r="OA45" s="145">
        <f t="shared" si="58"/>
        <v>-0.5</v>
      </c>
      <c r="OB45" s="145">
        <f t="shared" si="58"/>
        <v>0.33333333333333331</v>
      </c>
      <c r="OC45" s="145">
        <f t="shared" si="58"/>
        <v>-0.5</v>
      </c>
      <c r="OD45" s="145">
        <f t="shared" si="58"/>
        <v>0.45454545454545453</v>
      </c>
      <c r="OE45" s="145">
        <f t="shared" si="58"/>
        <v>-0.5714285714285714</v>
      </c>
      <c r="OF45" s="145">
        <f t="shared" si="58"/>
        <v>-1.3333333333333333</v>
      </c>
      <c r="OG45" s="145">
        <f t="shared" si="58"/>
        <v>0.25</v>
      </c>
      <c r="OH45" s="145">
        <f t="shared" si="58"/>
        <v>-3</v>
      </c>
      <c r="OI45" s="145">
        <f t="shared" si="58"/>
        <v>0.88888888888888884</v>
      </c>
      <c r="OJ45" s="145">
        <f t="shared" si="58"/>
        <v>-2</v>
      </c>
      <c r="OK45" s="145">
        <f t="shared" si="58"/>
        <v>-0.5</v>
      </c>
      <c r="OL45" s="145">
        <f t="shared" si="58"/>
        <v>0.6</v>
      </c>
    </row>
    <row r="46" spans="1:402" x14ac:dyDescent="0.35">
      <c r="B46" s="23"/>
      <c r="C46" s="23"/>
      <c r="D46" s="23"/>
      <c r="E46" s="23"/>
      <c r="F46" s="23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V46" s="25"/>
      <c r="GW46" s="25"/>
      <c r="GX46" s="25"/>
      <c r="GY46" s="25"/>
    </row>
    <row r="48" spans="1:402" ht="16" thickBot="1" x14ac:dyDescent="0.4">
      <c r="A48" s="12" t="s">
        <v>39</v>
      </c>
      <c r="GU48" s="12" t="s">
        <v>36</v>
      </c>
    </row>
    <row r="49" spans="1:402" x14ac:dyDescent="0.35">
      <c r="B49" s="13">
        <v>2007</v>
      </c>
      <c r="C49" s="13"/>
      <c r="D49" s="13"/>
      <c r="E49" s="14"/>
      <c r="F49" s="15">
        <v>2008</v>
      </c>
      <c r="G49" s="16"/>
      <c r="H49" s="17"/>
      <c r="I49" s="16"/>
      <c r="J49" s="16"/>
      <c r="K49" s="16"/>
      <c r="L49" s="18"/>
      <c r="M49" s="18"/>
      <c r="N49" s="18"/>
      <c r="O49" s="18"/>
      <c r="P49" s="18"/>
      <c r="Q49" s="18"/>
      <c r="R49" s="19">
        <v>2009</v>
      </c>
      <c r="S49" s="19"/>
      <c r="T49" s="19"/>
      <c r="U49" s="19"/>
      <c r="V49" s="16"/>
      <c r="W49" s="16"/>
      <c r="X49" s="16"/>
      <c r="Y49" s="16"/>
      <c r="Z49" s="16"/>
      <c r="AA49" s="16"/>
      <c r="AB49" s="16"/>
      <c r="AC49" s="16"/>
      <c r="AD49" s="19">
        <v>2010</v>
      </c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>
        <v>2011</v>
      </c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9">
        <v>2012</v>
      </c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9">
        <v>2013</v>
      </c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>
        <v>2014</v>
      </c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>
        <v>2015</v>
      </c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9">
        <v>2016</v>
      </c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9">
        <v>2017</v>
      </c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>
        <v>2018</v>
      </c>
      <c r="DW49" s="19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9">
        <v>2019</v>
      </c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9">
        <v>2020</v>
      </c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9">
        <v>2021</v>
      </c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>
        <v>2022</v>
      </c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>
        <v>2023</v>
      </c>
      <c r="GE49" s="19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9">
        <v>2024</v>
      </c>
      <c r="GQ49" s="19"/>
      <c r="GR49" s="183"/>
      <c r="GS49" s="43"/>
      <c r="GV49" s="13">
        <v>2007</v>
      </c>
      <c r="GW49" s="13"/>
      <c r="GX49" s="13"/>
      <c r="GY49" s="14"/>
      <c r="GZ49" s="15">
        <v>2008</v>
      </c>
      <c r="HA49" s="16"/>
      <c r="HB49" s="17"/>
      <c r="HC49" s="16"/>
      <c r="HD49" s="16"/>
      <c r="HE49" s="16"/>
      <c r="HF49" s="18"/>
      <c r="HG49" s="18"/>
      <c r="HH49" s="18"/>
      <c r="HI49" s="18"/>
      <c r="HJ49" s="18"/>
      <c r="HK49" s="18"/>
      <c r="HL49" s="19">
        <v>2009</v>
      </c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>
        <v>2010</v>
      </c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>
        <v>2011</v>
      </c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>
        <v>2012</v>
      </c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>
        <v>2013</v>
      </c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>
        <v>2014</v>
      </c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>
        <v>2015</v>
      </c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>
        <v>2016</v>
      </c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>
        <v>2017</v>
      </c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>
        <v>2018</v>
      </c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>
        <v>2019</v>
      </c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>
        <v>2020</v>
      </c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>
        <v>2021</v>
      </c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>
        <v>2022</v>
      </c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>
        <v>2023</v>
      </c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>
        <v>2024</v>
      </c>
      <c r="OK49" s="19"/>
      <c r="OL49" s="19"/>
    </row>
    <row r="50" spans="1:402" s="2" customFormat="1" x14ac:dyDescent="0.35">
      <c r="A50" s="26"/>
      <c r="B50" s="20" t="s">
        <v>3</v>
      </c>
      <c r="C50" s="20" t="s">
        <v>4</v>
      </c>
      <c r="D50" s="20" t="s">
        <v>5</v>
      </c>
      <c r="E50" s="20" t="s">
        <v>6</v>
      </c>
      <c r="F50" s="20" t="s">
        <v>7</v>
      </c>
      <c r="G50" s="20" t="s">
        <v>8</v>
      </c>
      <c r="H50" s="20" t="s">
        <v>9</v>
      </c>
      <c r="I50" s="20" t="s">
        <v>10</v>
      </c>
      <c r="J50" s="20" t="s">
        <v>11</v>
      </c>
      <c r="K50" s="20" t="s">
        <v>12</v>
      </c>
      <c r="L50" s="20" t="s">
        <v>13</v>
      </c>
      <c r="M50" s="20" t="s">
        <v>14</v>
      </c>
      <c r="N50" s="20" t="s">
        <v>3</v>
      </c>
      <c r="O50" s="20" t="s">
        <v>4</v>
      </c>
      <c r="P50" s="20" t="s">
        <v>5</v>
      </c>
      <c r="Q50" s="20" t="s">
        <v>15</v>
      </c>
      <c r="R50" s="22" t="s">
        <v>7</v>
      </c>
      <c r="S50" s="22" t="s">
        <v>8</v>
      </c>
      <c r="T50" s="22" t="s">
        <v>9</v>
      </c>
      <c r="U50" s="22" t="s">
        <v>10</v>
      </c>
      <c r="V50" s="22" t="s">
        <v>11</v>
      </c>
      <c r="W50" s="22" t="s">
        <v>12</v>
      </c>
      <c r="X50" s="22" t="s">
        <v>13</v>
      </c>
      <c r="Y50" s="22" t="s">
        <v>14</v>
      </c>
      <c r="Z50" s="22" t="s">
        <v>16</v>
      </c>
      <c r="AA50" s="22" t="s">
        <v>4</v>
      </c>
      <c r="AB50" s="22" t="s">
        <v>5</v>
      </c>
      <c r="AC50" s="22" t="s">
        <v>6</v>
      </c>
      <c r="AD50" s="22" t="s">
        <v>17</v>
      </c>
      <c r="AE50" s="22" t="s">
        <v>8</v>
      </c>
      <c r="AF50" s="22" t="s">
        <v>18</v>
      </c>
      <c r="AG50" s="22" t="s">
        <v>10</v>
      </c>
      <c r="AH50" s="22" t="s">
        <v>11</v>
      </c>
      <c r="AI50" s="22" t="s">
        <v>12</v>
      </c>
      <c r="AJ50" s="22" t="s">
        <v>13</v>
      </c>
      <c r="AK50" s="22" t="s">
        <v>14</v>
      </c>
      <c r="AL50" s="22" t="s">
        <v>16</v>
      </c>
      <c r="AM50" s="22" t="s">
        <v>19</v>
      </c>
      <c r="AN50" s="22" t="s">
        <v>5</v>
      </c>
      <c r="AO50" s="22" t="s">
        <v>6</v>
      </c>
      <c r="AP50" s="22" t="s">
        <v>7</v>
      </c>
      <c r="AQ50" s="22" t="s">
        <v>8</v>
      </c>
      <c r="AR50" s="22" t="s">
        <v>9</v>
      </c>
      <c r="AS50" s="22" t="s">
        <v>10</v>
      </c>
      <c r="AT50" s="22" t="s">
        <v>11</v>
      </c>
      <c r="AU50" s="22" t="s">
        <v>12</v>
      </c>
      <c r="AV50" s="22" t="s">
        <v>13</v>
      </c>
      <c r="AW50" s="22" t="s">
        <v>14</v>
      </c>
      <c r="AX50" s="22" t="s">
        <v>3</v>
      </c>
      <c r="AY50" s="22" t="s">
        <v>4</v>
      </c>
      <c r="AZ50" s="22" t="s">
        <v>5</v>
      </c>
      <c r="BA50" s="22" t="s">
        <v>15</v>
      </c>
      <c r="BB50" s="22" t="s">
        <v>7</v>
      </c>
      <c r="BC50" s="22" t="s">
        <v>8</v>
      </c>
      <c r="BD50" s="22" t="s">
        <v>18</v>
      </c>
      <c r="BE50" s="22" t="s">
        <v>10</v>
      </c>
      <c r="BF50" s="22" t="s">
        <v>11</v>
      </c>
      <c r="BG50" s="22" t="s">
        <v>12</v>
      </c>
      <c r="BH50" s="22" t="s">
        <v>20</v>
      </c>
      <c r="BI50" s="22" t="s">
        <v>21</v>
      </c>
      <c r="BJ50" s="22" t="s">
        <v>16</v>
      </c>
      <c r="BK50" s="22" t="s">
        <v>19</v>
      </c>
      <c r="BL50" s="22" t="s">
        <v>5</v>
      </c>
      <c r="BM50" s="22" t="s">
        <v>15</v>
      </c>
      <c r="BN50" s="22" t="s">
        <v>7</v>
      </c>
      <c r="BO50" s="22" t="s">
        <v>8</v>
      </c>
      <c r="BP50" s="22" t="s">
        <v>9</v>
      </c>
      <c r="BQ50" s="22" t="s">
        <v>10</v>
      </c>
      <c r="BR50" s="22" t="s">
        <v>11</v>
      </c>
      <c r="BS50" s="22" t="s">
        <v>12</v>
      </c>
      <c r="BT50" s="22" t="s">
        <v>20</v>
      </c>
      <c r="BU50" s="22" t="s">
        <v>21</v>
      </c>
      <c r="BV50" s="22" t="s">
        <v>22</v>
      </c>
      <c r="BW50" s="22" t="s">
        <v>4</v>
      </c>
      <c r="BX50" s="22" t="s">
        <v>5</v>
      </c>
      <c r="BY50" s="22" t="s">
        <v>6</v>
      </c>
      <c r="BZ50" s="22" t="s">
        <v>17</v>
      </c>
      <c r="CA50" s="22" t="s">
        <v>23</v>
      </c>
      <c r="CB50" s="22" t="s">
        <v>18</v>
      </c>
      <c r="CC50" s="22" t="s">
        <v>24</v>
      </c>
      <c r="CD50" s="22" t="s">
        <v>11</v>
      </c>
      <c r="CE50" s="22" t="s">
        <v>12</v>
      </c>
      <c r="CF50" s="22" t="s">
        <v>13</v>
      </c>
      <c r="CG50" s="22" t="s">
        <v>14</v>
      </c>
      <c r="CH50" s="22" t="s">
        <v>16</v>
      </c>
      <c r="CI50" s="22" t="s">
        <v>4</v>
      </c>
      <c r="CJ50" s="22" t="s">
        <v>5</v>
      </c>
      <c r="CK50" s="22" t="s">
        <v>6</v>
      </c>
      <c r="CL50" s="22" t="s">
        <v>7</v>
      </c>
      <c r="CM50" s="22" t="s">
        <v>8</v>
      </c>
      <c r="CN50" s="22" t="s">
        <v>18</v>
      </c>
      <c r="CO50" s="22" t="s">
        <v>10</v>
      </c>
      <c r="CP50" s="22" t="s">
        <v>11</v>
      </c>
      <c r="CQ50" s="22" t="s">
        <v>12</v>
      </c>
      <c r="CR50" s="22" t="s">
        <v>20</v>
      </c>
      <c r="CS50" s="22" t="s">
        <v>14</v>
      </c>
      <c r="CT50" s="22" t="s">
        <v>22</v>
      </c>
      <c r="CU50" s="22" t="s">
        <v>19</v>
      </c>
      <c r="CV50" s="22" t="s">
        <v>5</v>
      </c>
      <c r="CW50" s="22" t="s">
        <v>15</v>
      </c>
      <c r="CX50" s="22" t="s">
        <v>7</v>
      </c>
      <c r="CY50" s="22" t="s">
        <v>23</v>
      </c>
      <c r="CZ50" s="22" t="s">
        <v>18</v>
      </c>
      <c r="DA50" s="22" t="s">
        <v>24</v>
      </c>
      <c r="DB50" s="22" t="s">
        <v>11</v>
      </c>
      <c r="DC50" s="22" t="s">
        <v>12</v>
      </c>
      <c r="DD50" s="22" t="s">
        <v>13</v>
      </c>
      <c r="DE50" s="22" t="s">
        <v>14</v>
      </c>
      <c r="DF50" s="22" t="s">
        <v>16</v>
      </c>
      <c r="DG50" s="22" t="s">
        <v>4</v>
      </c>
      <c r="DH50" s="22" t="s">
        <v>5</v>
      </c>
      <c r="DI50" s="22" t="s">
        <v>15</v>
      </c>
      <c r="DJ50" s="22" t="s">
        <v>7</v>
      </c>
      <c r="DK50" s="22" t="s">
        <v>8</v>
      </c>
      <c r="DL50" s="22" t="s">
        <v>18</v>
      </c>
      <c r="DM50" s="22" t="s">
        <v>24</v>
      </c>
      <c r="DN50" s="22" t="s">
        <v>11</v>
      </c>
      <c r="DO50" s="22" t="s">
        <v>12</v>
      </c>
      <c r="DP50" s="22" t="s">
        <v>20</v>
      </c>
      <c r="DQ50" s="22" t="s">
        <v>14</v>
      </c>
      <c r="DR50" s="22" t="s">
        <v>22</v>
      </c>
      <c r="DS50" s="22" t="s">
        <v>19</v>
      </c>
      <c r="DT50" s="22" t="s">
        <v>5</v>
      </c>
      <c r="DU50" s="22" t="s">
        <v>15</v>
      </c>
      <c r="DV50" s="22" t="s">
        <v>7</v>
      </c>
      <c r="DW50" s="22" t="s">
        <v>8</v>
      </c>
      <c r="DX50" s="22" t="s">
        <v>18</v>
      </c>
      <c r="DY50" s="22" t="s">
        <v>24</v>
      </c>
      <c r="DZ50" s="22" t="s">
        <v>11</v>
      </c>
      <c r="EA50" s="22" t="s">
        <v>12</v>
      </c>
      <c r="EB50" s="22" t="s">
        <v>20</v>
      </c>
      <c r="EC50" s="22" t="s">
        <v>21</v>
      </c>
      <c r="ED50" s="22" t="s">
        <v>22</v>
      </c>
      <c r="EE50" s="22" t="s">
        <v>4</v>
      </c>
      <c r="EF50" s="22" t="s">
        <v>5</v>
      </c>
      <c r="EG50" s="22" t="s">
        <v>15</v>
      </c>
      <c r="EH50" s="22" t="s">
        <v>17</v>
      </c>
      <c r="EI50" s="22" t="s">
        <v>23</v>
      </c>
      <c r="EJ50" s="22" t="s">
        <v>18</v>
      </c>
      <c r="EK50" s="22" t="s">
        <v>24</v>
      </c>
      <c r="EL50" s="22" t="s">
        <v>11</v>
      </c>
      <c r="EM50" s="22" t="s">
        <v>12</v>
      </c>
      <c r="EN50" s="22" t="s">
        <v>20</v>
      </c>
      <c r="EO50" s="22" t="s">
        <v>21</v>
      </c>
      <c r="EP50" s="22" t="s">
        <v>22</v>
      </c>
      <c r="EQ50" s="22" t="s">
        <v>4</v>
      </c>
      <c r="ER50" s="22" t="s">
        <v>5</v>
      </c>
      <c r="ES50" s="22" t="s">
        <v>6</v>
      </c>
      <c r="ET50" s="22" t="s">
        <v>17</v>
      </c>
      <c r="EU50" s="22" t="s">
        <v>8</v>
      </c>
      <c r="EV50" s="22" t="s">
        <v>18</v>
      </c>
      <c r="EW50" s="22" t="s">
        <v>24</v>
      </c>
      <c r="EX50" s="22" t="s">
        <v>11</v>
      </c>
      <c r="EY50" s="22" t="s">
        <v>12</v>
      </c>
      <c r="EZ50" s="22" t="s">
        <v>20</v>
      </c>
      <c r="FA50" s="22" t="s">
        <v>14</v>
      </c>
      <c r="FB50" s="22" t="s">
        <v>22</v>
      </c>
      <c r="FC50" s="22" t="s">
        <v>4</v>
      </c>
      <c r="FD50" s="22" t="s">
        <v>5</v>
      </c>
      <c r="FE50" s="22" t="s">
        <v>6</v>
      </c>
      <c r="FF50" s="22" t="s">
        <v>7</v>
      </c>
      <c r="FG50" s="22" t="s">
        <v>8</v>
      </c>
      <c r="FH50" s="22" t="s">
        <v>9</v>
      </c>
      <c r="FI50" s="22" t="s">
        <v>24</v>
      </c>
      <c r="FJ50" s="22" t="s">
        <v>11</v>
      </c>
      <c r="FK50" s="22" t="s">
        <v>12</v>
      </c>
      <c r="FL50" s="22" t="s">
        <v>20</v>
      </c>
      <c r="FM50" s="22" t="s">
        <v>14</v>
      </c>
      <c r="FN50" s="22" t="s">
        <v>22</v>
      </c>
      <c r="FO50" s="22" t="s">
        <v>19</v>
      </c>
      <c r="FP50" s="22" t="s">
        <v>27</v>
      </c>
      <c r="FQ50" s="22" t="s">
        <v>15</v>
      </c>
      <c r="FR50" s="22" t="s">
        <v>7</v>
      </c>
      <c r="FS50" s="22" t="s">
        <v>8</v>
      </c>
      <c r="FT50" s="22" t="s">
        <v>9</v>
      </c>
      <c r="FU50" s="22" t="s">
        <v>10</v>
      </c>
      <c r="FV50" s="22" t="s">
        <v>11</v>
      </c>
      <c r="FW50" s="22" t="s">
        <v>12</v>
      </c>
      <c r="FX50" s="22" t="s">
        <v>20</v>
      </c>
      <c r="FY50" s="22" t="s">
        <v>14</v>
      </c>
      <c r="FZ50" s="22" t="s">
        <v>16</v>
      </c>
      <c r="GA50" s="22" t="s">
        <v>19</v>
      </c>
      <c r="GB50" s="22" t="s">
        <v>5</v>
      </c>
      <c r="GC50" s="22" t="s">
        <v>6</v>
      </c>
      <c r="GD50" s="22" t="s">
        <v>7</v>
      </c>
      <c r="GE50" s="22" t="s">
        <v>8</v>
      </c>
      <c r="GF50" s="22" t="s">
        <v>18</v>
      </c>
      <c r="GG50" s="22" t="s">
        <v>24</v>
      </c>
      <c r="GH50" s="22" t="s">
        <v>11</v>
      </c>
      <c r="GI50" s="22" t="s">
        <v>12</v>
      </c>
      <c r="GJ50" s="22" t="s">
        <v>13</v>
      </c>
      <c r="GK50" s="22" t="s">
        <v>14</v>
      </c>
      <c r="GL50" s="22" t="s">
        <v>22</v>
      </c>
      <c r="GM50" s="22" t="s">
        <v>4</v>
      </c>
      <c r="GN50" s="22" t="s">
        <v>5</v>
      </c>
      <c r="GO50" s="22" t="s">
        <v>6</v>
      </c>
      <c r="GP50" s="22" t="s">
        <v>7</v>
      </c>
      <c r="GQ50" s="22" t="s">
        <v>8</v>
      </c>
      <c r="GR50" s="22" t="s">
        <v>18</v>
      </c>
      <c r="GV50" s="20" t="s">
        <v>3</v>
      </c>
      <c r="GW50" s="21" t="s">
        <v>4</v>
      </c>
      <c r="GX50" s="20" t="s">
        <v>5</v>
      </c>
      <c r="GY50" s="20" t="s">
        <v>6</v>
      </c>
      <c r="GZ50" s="20" t="s">
        <v>7</v>
      </c>
      <c r="HA50" s="20" t="s">
        <v>8</v>
      </c>
      <c r="HB50" s="20" t="s">
        <v>9</v>
      </c>
      <c r="HC50" s="20" t="s">
        <v>10</v>
      </c>
      <c r="HD50" s="20" t="s">
        <v>11</v>
      </c>
      <c r="HE50" s="20" t="s">
        <v>12</v>
      </c>
      <c r="HF50" s="20" t="s">
        <v>13</v>
      </c>
      <c r="HG50" s="20" t="s">
        <v>14</v>
      </c>
      <c r="HH50" s="20" t="s">
        <v>3</v>
      </c>
      <c r="HI50" s="20" t="s">
        <v>4</v>
      </c>
      <c r="HJ50" s="20" t="s">
        <v>5</v>
      </c>
      <c r="HK50" s="20" t="s">
        <v>15</v>
      </c>
      <c r="HL50" s="22" t="s">
        <v>7</v>
      </c>
      <c r="HM50" s="22" t="s">
        <v>8</v>
      </c>
      <c r="HN50" s="22" t="s">
        <v>9</v>
      </c>
      <c r="HO50" s="22" t="s">
        <v>10</v>
      </c>
      <c r="HP50" s="22" t="s">
        <v>11</v>
      </c>
      <c r="HQ50" s="22" t="s">
        <v>12</v>
      </c>
      <c r="HR50" s="22" t="s">
        <v>13</v>
      </c>
      <c r="HS50" s="22" t="s">
        <v>14</v>
      </c>
      <c r="HT50" s="22" t="s">
        <v>16</v>
      </c>
      <c r="HU50" s="44" t="s">
        <v>4</v>
      </c>
      <c r="HV50" s="22" t="s">
        <v>5</v>
      </c>
      <c r="HW50" s="22" t="s">
        <v>6</v>
      </c>
      <c r="HX50" s="22" t="s">
        <v>17</v>
      </c>
      <c r="HY50" s="22" t="s">
        <v>8</v>
      </c>
      <c r="HZ50" s="22" t="s">
        <v>18</v>
      </c>
      <c r="IA50" s="22" t="s">
        <v>10</v>
      </c>
      <c r="IB50" s="22" t="s">
        <v>11</v>
      </c>
      <c r="IC50" s="22" t="s">
        <v>12</v>
      </c>
      <c r="ID50" s="22" t="s">
        <v>13</v>
      </c>
      <c r="IE50" s="22" t="s">
        <v>26</v>
      </c>
      <c r="IF50" s="22" t="s">
        <v>16</v>
      </c>
      <c r="IG50" s="22" t="s">
        <v>4</v>
      </c>
      <c r="IH50" s="22" t="s">
        <v>5</v>
      </c>
      <c r="II50" s="22" t="s">
        <v>6</v>
      </c>
      <c r="IJ50" s="22" t="s">
        <v>7</v>
      </c>
      <c r="IK50" s="22" t="s">
        <v>8</v>
      </c>
      <c r="IL50" s="22" t="s">
        <v>18</v>
      </c>
      <c r="IM50" s="22" t="s">
        <v>10</v>
      </c>
      <c r="IN50" s="22" t="s">
        <v>11</v>
      </c>
      <c r="IO50" s="22" t="s">
        <v>12</v>
      </c>
      <c r="IP50" s="22" t="s">
        <v>13</v>
      </c>
      <c r="IQ50" s="22" t="s">
        <v>14</v>
      </c>
      <c r="IR50" s="22" t="s">
        <v>3</v>
      </c>
      <c r="IS50" s="22" t="s">
        <v>4</v>
      </c>
      <c r="IT50" s="22" t="s">
        <v>5</v>
      </c>
      <c r="IU50" s="22" t="s">
        <v>15</v>
      </c>
      <c r="IV50" s="22" t="s">
        <v>7</v>
      </c>
      <c r="IW50" s="22" t="s">
        <v>8</v>
      </c>
      <c r="IX50" s="22" t="s">
        <v>18</v>
      </c>
      <c r="IY50" s="22" t="s">
        <v>10</v>
      </c>
      <c r="IZ50" s="22" t="s">
        <v>11</v>
      </c>
      <c r="JA50" s="22" t="s">
        <v>12</v>
      </c>
      <c r="JB50" s="22" t="s">
        <v>20</v>
      </c>
      <c r="JC50" s="22" t="s">
        <v>21</v>
      </c>
      <c r="JD50" s="22" t="s">
        <v>16</v>
      </c>
      <c r="JE50" s="22" t="s">
        <v>4</v>
      </c>
      <c r="JF50" s="22" t="s">
        <v>5</v>
      </c>
      <c r="JG50" s="22" t="s">
        <v>6</v>
      </c>
      <c r="JH50" s="22" t="s">
        <v>7</v>
      </c>
      <c r="JI50" s="22" t="s">
        <v>8</v>
      </c>
      <c r="JJ50" s="22" t="s">
        <v>9</v>
      </c>
      <c r="JK50" s="22" t="s">
        <v>10</v>
      </c>
      <c r="JL50" s="22" t="s">
        <v>11</v>
      </c>
      <c r="JM50" s="22" t="s">
        <v>12</v>
      </c>
      <c r="JN50" s="22" t="s">
        <v>20</v>
      </c>
      <c r="JO50" s="22" t="s">
        <v>21</v>
      </c>
      <c r="JP50" s="22" t="s">
        <v>22</v>
      </c>
      <c r="JQ50" s="22" t="s">
        <v>4</v>
      </c>
      <c r="JR50" s="22" t="s">
        <v>5</v>
      </c>
      <c r="JS50" s="22" t="s">
        <v>6</v>
      </c>
      <c r="JT50" s="22" t="s">
        <v>17</v>
      </c>
      <c r="JU50" s="22" t="s">
        <v>23</v>
      </c>
      <c r="JV50" s="22" t="s">
        <v>18</v>
      </c>
      <c r="JW50" s="22" t="s">
        <v>24</v>
      </c>
      <c r="JX50" s="22" t="s">
        <v>11</v>
      </c>
      <c r="JY50" s="22" t="s">
        <v>12</v>
      </c>
      <c r="JZ50" s="22" t="s">
        <v>13</v>
      </c>
      <c r="KA50" s="22" t="s">
        <v>14</v>
      </c>
      <c r="KB50" s="22" t="s">
        <v>22</v>
      </c>
      <c r="KC50" s="22" t="s">
        <v>4</v>
      </c>
      <c r="KD50" s="22" t="s">
        <v>5</v>
      </c>
      <c r="KE50" s="22" t="s">
        <v>6</v>
      </c>
      <c r="KF50" s="22" t="s">
        <v>17</v>
      </c>
      <c r="KG50" s="22" t="s">
        <v>8</v>
      </c>
      <c r="KH50" s="22" t="s">
        <v>18</v>
      </c>
      <c r="KI50" s="22" t="s">
        <v>10</v>
      </c>
      <c r="KJ50" s="22" t="s">
        <v>11</v>
      </c>
      <c r="KK50" s="22" t="s">
        <v>12</v>
      </c>
      <c r="KL50" s="22" t="s">
        <v>20</v>
      </c>
      <c r="KM50" s="22" t="s">
        <v>21</v>
      </c>
      <c r="KN50" s="22" t="s">
        <v>16</v>
      </c>
      <c r="KO50" s="22" t="s">
        <v>19</v>
      </c>
      <c r="KP50" s="22" t="s">
        <v>5</v>
      </c>
      <c r="KQ50" s="22" t="s">
        <v>6</v>
      </c>
      <c r="KR50" s="22" t="s">
        <v>7</v>
      </c>
      <c r="KS50" s="22" t="s">
        <v>8</v>
      </c>
      <c r="KT50" s="22" t="s">
        <v>18</v>
      </c>
      <c r="KU50" s="22" t="s">
        <v>24</v>
      </c>
      <c r="KV50" s="22" t="s">
        <v>11</v>
      </c>
      <c r="KW50" s="22" t="s">
        <v>12</v>
      </c>
      <c r="KX50" s="22" t="s">
        <v>20</v>
      </c>
      <c r="KY50" s="22" t="s">
        <v>14</v>
      </c>
      <c r="KZ50" s="22" t="s">
        <v>16</v>
      </c>
      <c r="LA50" s="22" t="s">
        <v>4</v>
      </c>
      <c r="LB50" s="22" t="s">
        <v>27</v>
      </c>
      <c r="LC50" s="22" t="s">
        <v>6</v>
      </c>
      <c r="LD50" s="22" t="s">
        <v>7</v>
      </c>
      <c r="LE50" s="22" t="s">
        <v>8</v>
      </c>
      <c r="LF50" s="22" t="s">
        <v>9</v>
      </c>
      <c r="LG50" s="22" t="s">
        <v>10</v>
      </c>
      <c r="LH50" s="22" t="s">
        <v>11</v>
      </c>
      <c r="LI50" s="22" t="s">
        <v>12</v>
      </c>
      <c r="LJ50" s="22" t="s">
        <v>20</v>
      </c>
      <c r="LK50" s="22" t="s">
        <v>14</v>
      </c>
      <c r="LL50" s="22" t="s">
        <v>22</v>
      </c>
      <c r="LM50" s="22" t="s">
        <v>19</v>
      </c>
      <c r="LN50" s="22" t="s">
        <v>5</v>
      </c>
      <c r="LO50" s="22" t="s">
        <v>15</v>
      </c>
      <c r="LP50" s="22" t="s">
        <v>7</v>
      </c>
      <c r="LQ50" s="22" t="s">
        <v>8</v>
      </c>
      <c r="LR50" s="22" t="s">
        <v>18</v>
      </c>
      <c r="LS50" s="22" t="s">
        <v>10</v>
      </c>
      <c r="LT50" s="22" t="s">
        <v>11</v>
      </c>
      <c r="LU50" s="22" t="s">
        <v>12</v>
      </c>
      <c r="LV50" s="22" t="s">
        <v>13</v>
      </c>
      <c r="LW50" s="22" t="s">
        <v>14</v>
      </c>
      <c r="LX50" s="22" t="s">
        <v>22</v>
      </c>
      <c r="LY50" s="22" t="s">
        <v>4</v>
      </c>
      <c r="LZ50" s="22" t="s">
        <v>5</v>
      </c>
      <c r="MA50" s="22" t="s">
        <v>6</v>
      </c>
      <c r="MB50" s="22" t="s">
        <v>17</v>
      </c>
      <c r="MC50" s="22" t="s">
        <v>8</v>
      </c>
      <c r="MD50" s="22" t="s">
        <v>18</v>
      </c>
      <c r="ME50" s="22" t="s">
        <v>24</v>
      </c>
      <c r="MF50" s="22" t="s">
        <v>11</v>
      </c>
      <c r="MG50" s="22" t="s">
        <v>101</v>
      </c>
      <c r="MH50" s="22" t="s">
        <v>20</v>
      </c>
      <c r="MI50" s="22" t="s">
        <v>14</v>
      </c>
      <c r="MJ50" s="22" t="s">
        <v>22</v>
      </c>
      <c r="MK50" s="22" t="s">
        <v>4</v>
      </c>
      <c r="ML50" s="22" t="s">
        <v>5</v>
      </c>
      <c r="MM50" s="22" t="s">
        <v>6</v>
      </c>
      <c r="MN50" s="22" t="s">
        <v>17</v>
      </c>
      <c r="MO50" s="22" t="s">
        <v>8</v>
      </c>
      <c r="MP50" s="22" t="s">
        <v>18</v>
      </c>
      <c r="MQ50" s="22" t="s">
        <v>24</v>
      </c>
      <c r="MR50" s="22" t="s">
        <v>11</v>
      </c>
      <c r="MS50" s="22" t="s">
        <v>12</v>
      </c>
      <c r="MT50" s="22" t="s">
        <v>20</v>
      </c>
      <c r="MU50" s="22" t="s">
        <v>14</v>
      </c>
      <c r="MV50" s="22" t="s">
        <v>22</v>
      </c>
      <c r="MW50" s="22" t="s">
        <v>4</v>
      </c>
      <c r="MX50" s="22" t="s">
        <v>5</v>
      </c>
      <c r="MY50" s="22" t="s">
        <v>6</v>
      </c>
      <c r="MZ50" s="22" t="s">
        <v>7</v>
      </c>
      <c r="NA50" s="22" t="s">
        <v>8</v>
      </c>
      <c r="NB50" s="22" t="s">
        <v>18</v>
      </c>
      <c r="NC50" s="22" t="s">
        <v>24</v>
      </c>
      <c r="ND50" s="22" t="s">
        <v>11</v>
      </c>
      <c r="NE50" s="22" t="s">
        <v>12</v>
      </c>
      <c r="NF50" s="22" t="s">
        <v>20</v>
      </c>
      <c r="NG50" s="22" t="s">
        <v>14</v>
      </c>
      <c r="NH50" s="22" t="s">
        <v>22</v>
      </c>
      <c r="NI50" s="22" t="s">
        <v>19</v>
      </c>
      <c r="NJ50" s="22" t="s">
        <v>27</v>
      </c>
      <c r="NK50" s="22" t="s">
        <v>6</v>
      </c>
      <c r="NL50" s="22" t="s">
        <v>7</v>
      </c>
      <c r="NM50" s="22" t="s">
        <v>8</v>
      </c>
      <c r="NN50" s="22" t="s">
        <v>9</v>
      </c>
      <c r="NO50" s="22" t="s">
        <v>10</v>
      </c>
      <c r="NP50" s="22" t="s">
        <v>11</v>
      </c>
      <c r="NQ50" s="22" t="s">
        <v>12</v>
      </c>
      <c r="NR50" s="22" t="s">
        <v>20</v>
      </c>
      <c r="NS50" s="22" t="s">
        <v>14</v>
      </c>
      <c r="NT50" s="22" t="s">
        <v>16</v>
      </c>
      <c r="NU50" s="22" t="s">
        <v>19</v>
      </c>
      <c r="NV50" s="22" t="s">
        <v>5</v>
      </c>
      <c r="NW50" s="22" t="s">
        <v>6</v>
      </c>
      <c r="NX50" s="22" t="s">
        <v>7</v>
      </c>
      <c r="NY50" s="22" t="s">
        <v>8</v>
      </c>
      <c r="NZ50" s="22" t="s">
        <v>18</v>
      </c>
      <c r="OA50" s="22" t="s">
        <v>24</v>
      </c>
      <c r="OB50" s="22" t="s">
        <v>11</v>
      </c>
      <c r="OC50" s="22" t="s">
        <v>12</v>
      </c>
      <c r="OD50" s="22" t="s">
        <v>13</v>
      </c>
      <c r="OE50" s="22" t="s">
        <v>14</v>
      </c>
      <c r="OF50" s="22" t="s">
        <v>16</v>
      </c>
      <c r="OG50" s="22" t="s">
        <v>4</v>
      </c>
      <c r="OH50" s="22" t="s">
        <v>5</v>
      </c>
      <c r="OI50" s="22" t="s">
        <v>15</v>
      </c>
      <c r="OJ50" s="22" t="s">
        <v>7</v>
      </c>
      <c r="OK50" s="22" t="s">
        <v>8</v>
      </c>
      <c r="OL50" s="22" t="s">
        <v>18</v>
      </c>
    </row>
    <row r="51" spans="1:402" s="145" customFormat="1" ht="19.5" customHeight="1" x14ac:dyDescent="0.35">
      <c r="A51" s="12"/>
      <c r="B51" s="151">
        <f>'[1]Sept 07'!H13</f>
        <v>0.9195057497656558</v>
      </c>
      <c r="C51" s="151">
        <f>'[1]Oct 07'!H13</f>
        <v>0.91673236759398835</v>
      </c>
      <c r="D51" s="151">
        <f>'[1]Nov 07'!H13</f>
        <v>0.91970120341550032</v>
      </c>
      <c r="E51" s="151">
        <f>'[1]Dec 07'!H13</f>
        <v>0.92368410306026927</v>
      </c>
      <c r="F51" s="151">
        <f>'[1]Jan 08'!H13</f>
        <v>0.91008271557788289</v>
      </c>
      <c r="G51" s="145">
        <f>'[1]Feb 08'!H13</f>
        <v>0.91678315046407965</v>
      </c>
      <c r="H51" s="145">
        <f>'[1]Mar 08'!H13</f>
        <v>0.93691116087791215</v>
      </c>
      <c r="I51" s="145">
        <v>0.92345628274940927</v>
      </c>
      <c r="J51" s="145">
        <f>'[1]May 08'!H13</f>
        <v>0.90724399275400924</v>
      </c>
      <c r="K51" s="145">
        <v>0.90700000000000003</v>
      </c>
      <c r="L51" s="145">
        <f>'[1]Jul 08'!H13</f>
        <v>0.91302122380170658</v>
      </c>
      <c r="M51" s="145">
        <f>'[1]Aug 08'!H13</f>
        <v>0.90289222696774241</v>
      </c>
      <c r="N51" s="145">
        <v>0.95499999999999996</v>
      </c>
      <c r="O51" s="145">
        <v>0.877</v>
      </c>
      <c r="P51" s="145">
        <v>0.91</v>
      </c>
      <c r="Q51" s="145">
        <v>0.91800000000000004</v>
      </c>
      <c r="R51" s="145">
        <v>0.90500000000000003</v>
      </c>
      <c r="S51" s="145">
        <v>0.89100000000000001</v>
      </c>
      <c r="T51" s="145">
        <v>0.89400000000000002</v>
      </c>
      <c r="U51" s="145">
        <v>0.88400000000000001</v>
      </c>
      <c r="V51" s="145">
        <v>0.91</v>
      </c>
      <c r="W51" s="145">
        <v>0.88800000000000001</v>
      </c>
      <c r="X51" s="145">
        <v>0.90600000000000003</v>
      </c>
      <c r="Y51" s="145">
        <v>0.88100000000000001</v>
      </c>
      <c r="Z51" s="145">
        <f>1121000/1193251</f>
        <v>0.93945029168213556</v>
      </c>
      <c r="AA51" s="145">
        <v>0.89600000000000002</v>
      </c>
      <c r="AB51" s="145">
        <v>0.91700000000000004</v>
      </c>
      <c r="AC51" s="145">
        <v>0.88300000000000001</v>
      </c>
      <c r="AD51" s="145">
        <v>0.89800000000000002</v>
      </c>
      <c r="AE51" s="145">
        <v>0.91</v>
      </c>
      <c r="AF51" s="145">
        <v>0.88900000000000001</v>
      </c>
      <c r="AG51" s="145">
        <v>0.876</v>
      </c>
      <c r="AH51" s="145">
        <v>0.89</v>
      </c>
      <c r="AI51" s="145">
        <v>0.89500000000000002</v>
      </c>
      <c r="AJ51" s="145">
        <v>0.88300000000000001</v>
      </c>
      <c r="AK51" s="145">
        <v>0.89500000000000002</v>
      </c>
      <c r="AL51" s="145">
        <v>0.91400000000000003</v>
      </c>
      <c r="AM51" s="145">
        <v>0.89200000000000002</v>
      </c>
      <c r="AN51" s="145">
        <v>0.92500000000000004</v>
      </c>
      <c r="AO51" s="145">
        <v>0.88400000000000001</v>
      </c>
      <c r="AP51" s="145">
        <v>0.93600000000000005</v>
      </c>
      <c r="AQ51" s="145">
        <v>0.875</v>
      </c>
      <c r="AR51" s="145">
        <v>0.91</v>
      </c>
      <c r="AS51" s="145">
        <v>0.92700000000000005</v>
      </c>
      <c r="AT51" s="145">
        <v>0.88500000000000001</v>
      </c>
      <c r="AU51" s="145">
        <v>0.91600000000000004</v>
      </c>
      <c r="AV51" s="145">
        <v>0.89400000000000002</v>
      </c>
      <c r="AW51" s="145">
        <f>1018338/1183445</f>
        <v>0.86048612314049233</v>
      </c>
      <c r="AX51" s="145">
        <v>0.93330000000000002</v>
      </c>
      <c r="AY51" s="145">
        <v>0.89500000000000002</v>
      </c>
      <c r="AZ51" s="145">
        <v>0.95199999999999996</v>
      </c>
      <c r="BA51" s="145">
        <v>0.94399999999999995</v>
      </c>
      <c r="BB51" s="145">
        <v>0.873</v>
      </c>
      <c r="BC51" s="145">
        <v>0.97</v>
      </c>
      <c r="BD51" s="145">
        <v>0.9</v>
      </c>
      <c r="BE51" s="145">
        <v>0.92400000000000004</v>
      </c>
      <c r="BF51" s="145">
        <v>0.91800000000000004</v>
      </c>
      <c r="BG51" s="145">
        <v>0.91300000000000003</v>
      </c>
      <c r="BH51" s="145">
        <v>0.92800000000000005</v>
      </c>
      <c r="BI51" s="145">
        <v>0.94899999999999995</v>
      </c>
      <c r="BJ51" s="145">
        <v>0.92700000000000005</v>
      </c>
      <c r="BK51" s="145">
        <v>0.94899999999999995</v>
      </c>
      <c r="BL51" s="145">
        <v>0.89500000000000002</v>
      </c>
      <c r="BM51" s="145">
        <v>0.93400000000000005</v>
      </c>
      <c r="BN51" s="145">
        <v>0.93</v>
      </c>
      <c r="BO51" s="145">
        <v>0.93300000000000005</v>
      </c>
      <c r="BP51" s="145">
        <v>0.92900000000000005</v>
      </c>
      <c r="BQ51" s="145">
        <v>0.94199999999999995</v>
      </c>
      <c r="BR51" s="145">
        <v>0.94399999999999995</v>
      </c>
      <c r="BS51" s="145">
        <v>0.93700000000000006</v>
      </c>
      <c r="BT51" s="145">
        <v>0.95099999999999996</v>
      </c>
      <c r="BU51" s="145">
        <v>0.95899999999999996</v>
      </c>
      <c r="BV51" s="145">
        <v>0.94499999999999995</v>
      </c>
      <c r="BW51" s="145">
        <v>0.95399999999999996</v>
      </c>
      <c r="BX51" s="145">
        <v>0.94499999999999995</v>
      </c>
      <c r="BY51" s="145">
        <v>0.94799999999999995</v>
      </c>
      <c r="BZ51" s="145">
        <v>0.97599999999999998</v>
      </c>
      <c r="CA51" s="145">
        <v>0.93799999999999994</v>
      </c>
      <c r="CB51" s="145">
        <v>0.94499999999999995</v>
      </c>
      <c r="CC51" s="145">
        <v>0.93500000000000005</v>
      </c>
      <c r="CD51" s="145">
        <v>0.94</v>
      </c>
      <c r="CE51" s="145">
        <v>0.94199999999999995</v>
      </c>
      <c r="CF51" s="145">
        <v>0.95299999999999996</v>
      </c>
      <c r="CG51" s="145">
        <v>0.96199999999999997</v>
      </c>
      <c r="CH51" s="145">
        <v>0.93799999999999994</v>
      </c>
      <c r="CI51" s="145">
        <v>0.95499999999999996</v>
      </c>
      <c r="CJ51" s="145">
        <v>0.96199999999999997</v>
      </c>
      <c r="CK51" s="145">
        <v>0.92700000000000005</v>
      </c>
      <c r="CL51" s="145">
        <v>0.91400000000000003</v>
      </c>
      <c r="CM51" s="145">
        <v>0.94</v>
      </c>
      <c r="CN51" s="145">
        <v>0.93600000000000005</v>
      </c>
      <c r="CO51" s="145">
        <v>0.94299999999999995</v>
      </c>
      <c r="CP51" s="145">
        <v>0.93899999999999995</v>
      </c>
      <c r="CQ51" s="145">
        <v>0.94399999999999995</v>
      </c>
      <c r="CR51" s="145">
        <v>0.97</v>
      </c>
      <c r="CS51" s="145">
        <v>0.94</v>
      </c>
      <c r="CT51" s="145">
        <v>0.93100000000000005</v>
      </c>
      <c r="CU51" s="145">
        <v>0.93600000000000005</v>
      </c>
      <c r="CV51" s="145">
        <v>0.93799999999999994</v>
      </c>
      <c r="CW51" s="145">
        <v>0.94399999999999995</v>
      </c>
      <c r="CX51" s="145">
        <v>0.93899999999999995</v>
      </c>
      <c r="CY51" s="145">
        <v>0.94699999999999995</v>
      </c>
      <c r="CZ51" s="145">
        <v>0.94</v>
      </c>
      <c r="DA51" s="145">
        <v>0.94199999999999995</v>
      </c>
      <c r="DB51" s="145">
        <v>0.95199999999999996</v>
      </c>
      <c r="DC51" s="145">
        <v>0.94099999999999995</v>
      </c>
      <c r="DD51" s="145">
        <v>0.94</v>
      </c>
      <c r="DE51" s="145">
        <v>0.93600000000000005</v>
      </c>
      <c r="DF51" s="145">
        <v>0.93600000000000005</v>
      </c>
      <c r="DG51" s="145">
        <v>0.95899999999999996</v>
      </c>
      <c r="DH51" s="145">
        <v>0.95799999999999996</v>
      </c>
      <c r="DI51" s="145">
        <v>0.93400000000000005</v>
      </c>
      <c r="DJ51" s="145">
        <v>0.94499999999999995</v>
      </c>
      <c r="DK51" s="145">
        <v>0.95</v>
      </c>
      <c r="DL51" s="145">
        <v>0.93600000000000005</v>
      </c>
      <c r="DM51" s="145">
        <v>0.94499999999999995</v>
      </c>
      <c r="DN51" s="145">
        <v>0.93899999999999995</v>
      </c>
      <c r="DO51" s="145">
        <v>0.95499999999999996</v>
      </c>
      <c r="DP51" s="145">
        <v>0.92300000000000004</v>
      </c>
      <c r="DQ51" s="145">
        <v>0.96099999999999997</v>
      </c>
      <c r="DR51" s="145">
        <v>0.94799999999999995</v>
      </c>
      <c r="DS51" s="145">
        <v>0.95199999999999996</v>
      </c>
      <c r="DT51" s="145">
        <v>0.93899999999999995</v>
      </c>
      <c r="DU51" s="145">
        <v>0.95299999999999996</v>
      </c>
      <c r="DV51" s="145">
        <v>0.93899999999999995</v>
      </c>
      <c r="DW51" s="145">
        <v>0.94399999999999995</v>
      </c>
      <c r="DX51" s="145">
        <v>0.95</v>
      </c>
      <c r="DY51" s="145">
        <v>0.94699999999999995</v>
      </c>
      <c r="DZ51" s="145">
        <v>0.95499999999999996</v>
      </c>
      <c r="EA51" s="145">
        <v>0.95399999999999996</v>
      </c>
      <c r="EB51" s="145">
        <v>0.94299999999999995</v>
      </c>
      <c r="EC51" s="145">
        <v>0.94099999999999995</v>
      </c>
      <c r="ED51" s="145">
        <v>0.95199999999999996</v>
      </c>
      <c r="EE51" s="145">
        <v>0.95899999999999996</v>
      </c>
      <c r="EF51" s="145">
        <v>0.94399999999999995</v>
      </c>
      <c r="EG51" s="145">
        <v>0.95</v>
      </c>
      <c r="EH51" s="145">
        <v>0.96699999999999997</v>
      </c>
      <c r="EI51" s="145">
        <v>0.94399999999999995</v>
      </c>
      <c r="EJ51" s="145">
        <v>0.95699999999999996</v>
      </c>
      <c r="EK51" s="145">
        <v>0.95399999999999996</v>
      </c>
      <c r="EL51" s="145">
        <v>0.96099999999999997</v>
      </c>
      <c r="EM51" s="145">
        <v>0.95199999999999996</v>
      </c>
      <c r="EN51" s="145">
        <v>0.95599999999999996</v>
      </c>
      <c r="EO51" s="145">
        <v>0.94199999999999995</v>
      </c>
      <c r="EP51" s="145">
        <v>0.95399999999999996</v>
      </c>
      <c r="EQ51" s="145">
        <v>0.95799999999999996</v>
      </c>
      <c r="ER51" s="145">
        <v>0.96299999999999997</v>
      </c>
      <c r="ES51" s="145">
        <v>0.95699999999999996</v>
      </c>
      <c r="ET51" s="145">
        <v>0.92400000000000004</v>
      </c>
      <c r="EU51" s="145">
        <v>0.96399999999999997</v>
      </c>
      <c r="EV51" s="145">
        <v>0.95699999999999996</v>
      </c>
      <c r="EW51" s="145">
        <v>0.93600000000000005</v>
      </c>
      <c r="EX51" s="145">
        <v>0.94499999999999995</v>
      </c>
      <c r="EY51" s="145">
        <v>0.93899999999999995</v>
      </c>
      <c r="EZ51" s="145">
        <v>0.96199999999999997</v>
      </c>
      <c r="FA51" s="145">
        <v>0.96</v>
      </c>
      <c r="FB51" s="145">
        <v>0.97099999999999997</v>
      </c>
      <c r="FC51" s="145">
        <v>0.96799999999999997</v>
      </c>
      <c r="FD51" s="145">
        <v>0.98099999999999998</v>
      </c>
      <c r="FE51" s="145">
        <v>0.96599999999999997</v>
      </c>
      <c r="FF51" s="145">
        <v>0.97099999999999997</v>
      </c>
      <c r="FG51" s="145">
        <v>0.97799999999999998</v>
      </c>
      <c r="FH51" s="145">
        <v>0.996</v>
      </c>
      <c r="FI51" s="145">
        <v>1.008</v>
      </c>
      <c r="FJ51" s="145">
        <v>1.0009999999999999</v>
      </c>
      <c r="FK51" s="145">
        <v>1.0009999999999999</v>
      </c>
      <c r="FL51" s="145">
        <v>1</v>
      </c>
      <c r="FM51" s="145">
        <v>0.99099999999999999</v>
      </c>
      <c r="FN51" s="145">
        <v>0.99299999999999999</v>
      </c>
      <c r="FO51" s="145">
        <v>0.98899999999999999</v>
      </c>
      <c r="FP51" s="145">
        <v>0.97399999999999998</v>
      </c>
      <c r="FQ51" s="145">
        <v>0.995</v>
      </c>
      <c r="FR51" s="145">
        <v>0.998</v>
      </c>
      <c r="FS51" s="145">
        <v>1.018</v>
      </c>
      <c r="FT51" s="145">
        <v>1.0349999999999999</v>
      </c>
      <c r="FU51" s="145">
        <v>1.044</v>
      </c>
      <c r="FV51" s="145">
        <v>1.0269999999999999</v>
      </c>
      <c r="FW51" s="145">
        <v>0.98799999999999999</v>
      </c>
      <c r="FX51" s="145">
        <v>0.97399999999999998</v>
      </c>
      <c r="FY51" s="145">
        <v>0.94899999999999995</v>
      </c>
      <c r="FZ51" s="145">
        <v>0.96</v>
      </c>
      <c r="GA51" s="145">
        <v>0.95399999999999996</v>
      </c>
      <c r="GB51" s="145">
        <v>0.94799999999999995</v>
      </c>
      <c r="GC51" s="145">
        <v>0.94499999999999995</v>
      </c>
      <c r="GD51" s="145">
        <v>0.96099999999999997</v>
      </c>
      <c r="GE51" s="145">
        <v>0.96599999999999997</v>
      </c>
      <c r="GF51" s="145">
        <v>0.95899999999999996</v>
      </c>
      <c r="GG51" s="145">
        <v>0.96199999999999997</v>
      </c>
      <c r="GH51" s="145">
        <v>0.95799999999999996</v>
      </c>
      <c r="GI51" s="145">
        <v>0.96499999999999997</v>
      </c>
      <c r="GJ51" s="145">
        <v>0.96699999999999997</v>
      </c>
      <c r="GK51" s="145">
        <v>0.96899999999999997</v>
      </c>
      <c r="GL51" s="145">
        <v>0.97199999999999998</v>
      </c>
      <c r="GM51" s="145">
        <v>0.96499999999999997</v>
      </c>
      <c r="GN51" s="145">
        <v>0.96599999999999997</v>
      </c>
      <c r="GO51" s="145">
        <v>0.96099999999999997</v>
      </c>
      <c r="GP51" s="145">
        <v>0.96</v>
      </c>
      <c r="GQ51" s="145">
        <v>0.96699999999999997</v>
      </c>
      <c r="GR51" s="145">
        <v>0.97</v>
      </c>
      <c r="GS51" s="144"/>
      <c r="GT51" s="152"/>
      <c r="GU51" s="152"/>
      <c r="GV51" s="151">
        <f>'[1]Sept 07'!H15</f>
        <v>3.4426229508196723E-2</v>
      </c>
      <c r="GW51" s="151">
        <f>'[1]Oct 07'!H15</f>
        <v>3.968253968253968E-2</v>
      </c>
      <c r="GX51" s="151">
        <f>'[1]Nov 07'!H15</f>
        <v>4.3478260869565216E-2</v>
      </c>
      <c r="GY51" s="151">
        <f>'[1]Dec 07'!H15</f>
        <v>4.642857142857143E-2</v>
      </c>
      <c r="GZ51" s="145">
        <f>'[1]Jan 08'!H15</f>
        <v>3.3070866141732283E-2</v>
      </c>
      <c r="HA51" s="145">
        <f>'[1]Feb 08'!H15</f>
        <v>2.9874213836477988E-2</v>
      </c>
      <c r="HB51" s="145">
        <f>'[1]Mar 08'!H15</f>
        <v>3.7676609105180531E-2</v>
      </c>
      <c r="HC51" s="145">
        <v>3.8216560509554139E-2</v>
      </c>
      <c r="HD51" s="145">
        <f>'[1]May 08'!H15</f>
        <v>4.3973941368078175E-2</v>
      </c>
      <c r="HE51" s="145">
        <f>'[1]Jun 08'!H15</f>
        <v>5.3726169844020795E-2</v>
      </c>
      <c r="HF51" s="145">
        <f>'[1]Jul 08'!H15</f>
        <v>4.4198895027624308E-2</v>
      </c>
      <c r="HG51" s="145">
        <v>3.4000000000000002E-2</v>
      </c>
      <c r="HH51" s="145">
        <v>3.3000000000000002E-2</v>
      </c>
      <c r="HI51" s="145">
        <v>2.5999999999999999E-2</v>
      </c>
      <c r="HJ51" s="145">
        <v>1.0999999999999999E-2</v>
      </c>
      <c r="HK51" s="145">
        <v>3.1E-2</v>
      </c>
      <c r="HL51" s="145">
        <v>1.4E-2</v>
      </c>
      <c r="HM51" s="145">
        <v>2.5999999999999999E-2</v>
      </c>
      <c r="HN51" s="145">
        <v>2.1999999999999999E-2</v>
      </c>
      <c r="HO51" s="145">
        <v>4.8000000000000001E-2</v>
      </c>
      <c r="HP51" s="145">
        <v>4.7E-2</v>
      </c>
      <c r="HQ51" s="145">
        <v>7.2999999999999995E-2</v>
      </c>
      <c r="HR51" s="145">
        <v>4.8000000000000001E-2</v>
      </c>
      <c r="HS51" s="145">
        <v>5.7000000000000002E-2</v>
      </c>
      <c r="HT51" s="145">
        <v>7.5999999999999998E-2</v>
      </c>
      <c r="HU51" s="145">
        <v>5.3999999999999999E-2</v>
      </c>
      <c r="HV51" s="145">
        <v>5.6000000000000001E-2</v>
      </c>
      <c r="HW51" s="145">
        <v>5.2999999999999999E-2</v>
      </c>
      <c r="HX51" s="145">
        <v>4.5999999999999999E-2</v>
      </c>
      <c r="HY51" s="145">
        <v>0.04</v>
      </c>
      <c r="HZ51" s="145">
        <v>6.5000000000000002E-2</v>
      </c>
      <c r="IA51" s="145">
        <v>3.1E-2</v>
      </c>
      <c r="IB51" s="145">
        <v>6.7000000000000004E-2</v>
      </c>
      <c r="IC51" s="145">
        <v>0.108</v>
      </c>
      <c r="ID51" s="145">
        <v>6.9000000000000006E-2</v>
      </c>
      <c r="IE51" s="145">
        <v>6.9000000000000006E-2</v>
      </c>
      <c r="IF51" s="145">
        <v>3.9E-2</v>
      </c>
      <c r="IG51" s="145">
        <v>3.6999999999999998E-2</v>
      </c>
      <c r="IH51" s="145">
        <v>7.0000000000000007E-2</v>
      </c>
      <c r="II51" s="145">
        <v>9.7000000000000003E-2</v>
      </c>
      <c r="IJ51" s="145">
        <v>4.9000000000000002E-2</v>
      </c>
      <c r="IK51" s="145">
        <v>6.3E-2</v>
      </c>
      <c r="IL51" s="145">
        <v>0.108</v>
      </c>
      <c r="IM51" s="145">
        <v>0.11700000000000001</v>
      </c>
      <c r="IN51" s="145">
        <v>0.11</v>
      </c>
      <c r="IO51" s="145">
        <v>0.158</v>
      </c>
      <c r="IP51" s="145">
        <v>0.12</v>
      </c>
      <c r="IQ51" s="145">
        <v>4.3999999999999997E-2</v>
      </c>
      <c r="IR51" s="145">
        <v>5.8000000000000003E-2</v>
      </c>
      <c r="IS51" s="145">
        <v>8.5000000000000006E-2</v>
      </c>
      <c r="IT51" s="145">
        <v>8.8999999999999996E-2</v>
      </c>
      <c r="IU51" s="145">
        <v>9.5000000000000001E-2</v>
      </c>
      <c r="IV51" s="145">
        <v>6.7000000000000004E-2</v>
      </c>
      <c r="IW51" s="145">
        <v>5.6000000000000001E-2</v>
      </c>
      <c r="IX51" s="145">
        <v>0.109</v>
      </c>
      <c r="IY51" s="145">
        <v>0.153</v>
      </c>
      <c r="IZ51" s="145">
        <v>0.156</v>
      </c>
      <c r="JA51" s="145">
        <v>0.19500000000000001</v>
      </c>
      <c r="JB51" s="145">
        <v>0.11600000000000001</v>
      </c>
      <c r="JC51" s="145">
        <v>0.115</v>
      </c>
      <c r="JD51" s="145">
        <v>0.122</v>
      </c>
      <c r="JE51" s="145">
        <v>0.104</v>
      </c>
      <c r="JF51" s="145">
        <v>0.124</v>
      </c>
      <c r="JG51" s="145">
        <v>0.121</v>
      </c>
      <c r="JH51" s="145">
        <v>7.0000000000000007E-2</v>
      </c>
      <c r="JI51" s="145">
        <v>9.2999999999999999E-2</v>
      </c>
      <c r="JJ51" s="145">
        <v>0.125</v>
      </c>
      <c r="JK51" s="145">
        <v>0.17</v>
      </c>
      <c r="JL51" s="145">
        <v>0.20399999999999999</v>
      </c>
      <c r="JM51" s="145">
        <v>0.156</v>
      </c>
      <c r="JN51" s="145">
        <v>0.19500000000000001</v>
      </c>
      <c r="JO51" s="145">
        <v>0.16500000000000001</v>
      </c>
      <c r="JP51" s="145">
        <v>0.13600000000000001</v>
      </c>
      <c r="JQ51" s="145">
        <v>0.108</v>
      </c>
      <c r="JR51" s="145">
        <v>9.2999999999999999E-2</v>
      </c>
      <c r="JS51" s="145">
        <v>0.113</v>
      </c>
      <c r="JT51" s="145">
        <v>3.6999999999999998E-2</v>
      </c>
      <c r="JU51" s="145">
        <v>7.5999999999999998E-2</v>
      </c>
      <c r="JV51" s="145">
        <v>0.13100000000000001</v>
      </c>
      <c r="JW51" s="145">
        <v>0.14799999999999999</v>
      </c>
      <c r="JX51" s="145">
        <v>0.159</v>
      </c>
      <c r="JY51" s="145">
        <v>0.16500000000000001</v>
      </c>
      <c r="JZ51" s="145">
        <v>0.122</v>
      </c>
      <c r="KA51" s="145">
        <v>6.9000000000000006E-2</v>
      </c>
      <c r="KB51" s="145">
        <v>6.7000000000000004E-2</v>
      </c>
      <c r="KC51" s="145">
        <v>8.5999999999999993E-2</v>
      </c>
      <c r="KD51" s="145">
        <v>5.6000000000000001E-2</v>
      </c>
      <c r="KE51" s="145">
        <v>8.2000000000000003E-2</v>
      </c>
      <c r="KF51" s="145">
        <v>6.8000000000000005E-2</v>
      </c>
      <c r="KG51" s="145">
        <v>8.1000000000000003E-2</v>
      </c>
      <c r="KH51" s="145">
        <v>9.5000000000000001E-2</v>
      </c>
      <c r="KI51" s="145">
        <v>0.13700000000000001</v>
      </c>
      <c r="KJ51" s="145">
        <v>0.11</v>
      </c>
      <c r="KK51" s="145">
        <v>0.13500000000000001</v>
      </c>
      <c r="KL51" s="145">
        <v>5.1999999999999998E-2</v>
      </c>
      <c r="KM51" s="145">
        <v>9.5000000000000001E-2</v>
      </c>
      <c r="KN51" s="145">
        <v>8.6999999999999994E-2</v>
      </c>
      <c r="KO51" s="145">
        <v>6.6000000000000003E-2</v>
      </c>
      <c r="KP51" s="145">
        <v>6.3E-2</v>
      </c>
      <c r="KQ51" s="145">
        <v>9.7000000000000003E-2</v>
      </c>
      <c r="KR51" s="145">
        <v>4.7E-2</v>
      </c>
      <c r="KS51" s="145">
        <v>7.2999999999999995E-2</v>
      </c>
      <c r="KT51" s="145">
        <v>8.4000000000000005E-2</v>
      </c>
      <c r="KU51" s="145">
        <v>6.7000000000000004E-2</v>
      </c>
      <c r="KV51" s="145">
        <v>7.9000000000000001E-2</v>
      </c>
      <c r="KW51" s="145">
        <v>0.14399999999999999</v>
      </c>
      <c r="KX51" s="145">
        <v>5.8000000000000003E-2</v>
      </c>
      <c r="KY51" s="145">
        <v>0.121</v>
      </c>
      <c r="KZ51" s="145">
        <v>9.7000000000000003E-2</v>
      </c>
      <c r="LA51" s="145">
        <v>8.1000000000000003E-2</v>
      </c>
      <c r="LB51" s="145">
        <v>8.5000000000000006E-2</v>
      </c>
      <c r="LC51" s="145">
        <v>0.111</v>
      </c>
      <c r="LD51" s="145">
        <v>7.5999999999999998E-2</v>
      </c>
      <c r="LE51" s="145">
        <v>6.3E-2</v>
      </c>
      <c r="LF51" s="145">
        <v>8.4000000000000005E-2</v>
      </c>
      <c r="LG51" s="145">
        <v>0.1</v>
      </c>
      <c r="LH51" s="145">
        <v>0.114</v>
      </c>
      <c r="LI51" s="145">
        <v>0.19</v>
      </c>
      <c r="LJ51" s="145">
        <v>0.13400000000000001</v>
      </c>
      <c r="LK51" s="145">
        <v>0.13</v>
      </c>
      <c r="LL51" s="145">
        <v>0.14799999999999999</v>
      </c>
      <c r="LM51" s="145">
        <v>0.10100000000000001</v>
      </c>
      <c r="LN51" s="145">
        <v>9.4E-2</v>
      </c>
      <c r="LO51" s="145">
        <v>9.4E-2</v>
      </c>
      <c r="LP51" s="145">
        <v>0.10299999999999999</v>
      </c>
      <c r="LQ51" s="145">
        <v>0.10199999999999999</v>
      </c>
      <c r="LR51" s="145">
        <v>0.16300000000000001</v>
      </c>
      <c r="LS51" s="145">
        <v>0.18</v>
      </c>
      <c r="LT51" s="145">
        <v>0.216</v>
      </c>
      <c r="LU51" s="145">
        <v>0.247</v>
      </c>
      <c r="LV51" s="145">
        <v>0.20200000000000001</v>
      </c>
      <c r="LW51" s="145">
        <v>0.189</v>
      </c>
      <c r="LX51" s="145">
        <v>0.11700000000000001</v>
      </c>
      <c r="LY51" s="145">
        <v>0.11700000000000001</v>
      </c>
      <c r="LZ51" s="145">
        <v>0.123</v>
      </c>
      <c r="MA51" s="145">
        <v>0.151</v>
      </c>
      <c r="MB51" s="145">
        <v>0.106</v>
      </c>
      <c r="MC51" s="145">
        <v>0.12</v>
      </c>
      <c r="MD51" s="145">
        <v>0.127</v>
      </c>
      <c r="ME51" s="145">
        <v>0.182</v>
      </c>
      <c r="MF51" s="145">
        <v>0.223</v>
      </c>
      <c r="MG51" s="145">
        <v>0.20799999999999999</v>
      </c>
      <c r="MH51" s="145">
        <v>0.187</v>
      </c>
      <c r="MI51" s="145">
        <v>0.13200000000000001</v>
      </c>
      <c r="MJ51" s="145">
        <v>0.15</v>
      </c>
      <c r="MK51" s="145">
        <v>0.13200000000000001</v>
      </c>
      <c r="ML51" s="145">
        <v>0.185</v>
      </c>
      <c r="MM51" s="145">
        <v>0.254</v>
      </c>
      <c r="MN51" s="145">
        <v>0.10299999999999999</v>
      </c>
      <c r="MO51" s="145">
        <v>0.251</v>
      </c>
      <c r="MP51" s="145">
        <v>0.28999999999999998</v>
      </c>
      <c r="MQ51" s="145">
        <v>0.223</v>
      </c>
      <c r="MR51" s="145">
        <v>0.16500000000000001</v>
      </c>
      <c r="MS51" s="145">
        <v>0.373</v>
      </c>
      <c r="MT51" s="145">
        <v>0.57699999999999996</v>
      </c>
      <c r="MU51" s="145">
        <v>0.57899999999999996</v>
      </c>
      <c r="MV51" s="145">
        <v>0.61799999999999999</v>
      </c>
      <c r="MW51" s="145">
        <v>0.70099999999999996</v>
      </c>
      <c r="MX51" s="145">
        <v>0.71899999999999997</v>
      </c>
      <c r="MY51" s="145">
        <v>1.5629999999999999</v>
      </c>
      <c r="MZ51" s="145">
        <v>1.119</v>
      </c>
      <c r="NA51" s="145">
        <v>1.96</v>
      </c>
      <c r="NB51" s="145">
        <v>2.1349999999999998</v>
      </c>
      <c r="NC51" s="145">
        <v>1.93</v>
      </c>
      <c r="ND51" s="145">
        <v>2.016</v>
      </c>
      <c r="NE51" s="145">
        <v>1.397</v>
      </c>
      <c r="NF51" s="145">
        <v>1.1160000000000001</v>
      </c>
      <c r="NG51" s="145">
        <v>1</v>
      </c>
      <c r="NH51" s="145">
        <v>1.361</v>
      </c>
      <c r="NI51" s="145">
        <v>1.1000000000000001</v>
      </c>
      <c r="NJ51" s="145">
        <v>1.8520000000000001</v>
      </c>
      <c r="NK51" s="145">
        <v>1.8520000000000001</v>
      </c>
      <c r="NL51" s="145">
        <v>1.732</v>
      </c>
      <c r="NM51" s="145">
        <v>2.1840000000000002</v>
      </c>
      <c r="NN51" s="145">
        <v>2.1749999999999998</v>
      </c>
      <c r="NO51" s="145">
        <v>1.341</v>
      </c>
      <c r="NP51" s="145">
        <v>0.745</v>
      </c>
      <c r="NQ51" s="145">
        <v>0.52300000000000002</v>
      </c>
      <c r="NR51" s="145">
        <v>0.28999999999999998</v>
      </c>
      <c r="NS51" s="145">
        <v>0.22600000000000001</v>
      </c>
      <c r="NT51" s="145">
        <v>0.254</v>
      </c>
      <c r="NU51" s="145">
        <v>0.26800000000000002</v>
      </c>
      <c r="NV51" s="145">
        <v>0.21299999999999999</v>
      </c>
      <c r="NW51" s="145">
        <v>0.18</v>
      </c>
      <c r="NX51" s="145">
        <v>0.157</v>
      </c>
      <c r="NY51" s="145">
        <v>0.32600000000000001</v>
      </c>
      <c r="NZ51" s="145">
        <v>0.48299999999999998</v>
      </c>
      <c r="OA51" s="145">
        <v>0.36499999999999999</v>
      </c>
      <c r="OB51" s="145">
        <v>0.67900000000000005</v>
      </c>
      <c r="OC51" s="145">
        <v>0.66</v>
      </c>
      <c r="OD51" s="145">
        <v>0.52200000000000002</v>
      </c>
      <c r="OE51" s="145">
        <v>0.497</v>
      </c>
      <c r="OF51" s="145">
        <v>0.33700000000000002</v>
      </c>
      <c r="OG51" s="145">
        <v>0.30199999999999999</v>
      </c>
      <c r="OH51" s="145">
        <v>0.311</v>
      </c>
      <c r="OI51" s="145">
        <v>0.20899999999999999</v>
      </c>
      <c r="OJ51" s="145">
        <v>0.20799999999999999</v>
      </c>
      <c r="OK51" s="145">
        <v>0.28699999999999998</v>
      </c>
      <c r="OL51" s="145">
        <v>0.28199999999999997</v>
      </c>
    </row>
    <row r="52" spans="1:402" ht="15" thickBot="1" x14ac:dyDescent="0.4">
      <c r="A52" s="28" t="s">
        <v>42</v>
      </c>
      <c r="B52" s="5"/>
      <c r="C52" s="5"/>
      <c r="D52" s="5"/>
      <c r="E52" s="5"/>
      <c r="F52" s="5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5"/>
      <c r="GU52" s="5"/>
      <c r="GV52" s="5"/>
      <c r="GW52" s="5"/>
      <c r="GX52" s="5"/>
      <c r="GY52" s="5"/>
      <c r="GZ52" s="6"/>
      <c r="HA52" s="6"/>
      <c r="HB52" s="6"/>
      <c r="HC52" s="6"/>
      <c r="HD52" s="6"/>
      <c r="HE52" s="6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</row>
    <row r="53" spans="1:402" ht="30" customHeight="1" x14ac:dyDescent="0.35">
      <c r="A53" s="1" t="s">
        <v>43</v>
      </c>
    </row>
    <row r="54" spans="1:402" ht="19.5" customHeight="1" x14ac:dyDescent="0.4">
      <c r="A54" s="8" t="s">
        <v>46</v>
      </c>
      <c r="B54" s="9"/>
      <c r="C54" s="9"/>
      <c r="D54" s="9"/>
      <c r="E54" s="9"/>
      <c r="F54" s="9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9"/>
      <c r="GU54" s="9"/>
      <c r="GV54" s="9"/>
      <c r="GW54" s="9"/>
      <c r="GX54" s="9"/>
      <c r="GY54" s="9"/>
      <c r="GZ54" s="38"/>
      <c r="HA54" s="38"/>
      <c r="HB54" s="38"/>
      <c r="HC54" s="38"/>
      <c r="HD54" s="38"/>
      <c r="HE54" s="38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</row>
    <row r="55" spans="1:402" ht="16" thickBot="1" x14ac:dyDescent="0.4">
      <c r="A55" s="12" t="s">
        <v>47</v>
      </c>
      <c r="GU55" s="12" t="s">
        <v>2</v>
      </c>
    </row>
    <row r="56" spans="1:402" x14ac:dyDescent="0.35">
      <c r="B56" s="13">
        <v>2007</v>
      </c>
      <c r="C56" s="13"/>
      <c r="D56" s="13"/>
      <c r="E56" s="14"/>
      <c r="F56" s="15">
        <v>2008</v>
      </c>
      <c r="G56" s="16"/>
      <c r="H56" s="17"/>
      <c r="I56" s="16"/>
      <c r="J56" s="16"/>
      <c r="K56" s="16"/>
      <c r="L56" s="18"/>
      <c r="M56" s="18"/>
      <c r="N56" s="18"/>
      <c r="O56" s="18"/>
      <c r="P56" s="18"/>
      <c r="Q56" s="18"/>
      <c r="R56" s="19">
        <v>2009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>
        <v>2010</v>
      </c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6">
        <v>2011</v>
      </c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9">
        <v>2012</v>
      </c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>
        <v>2013</v>
      </c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6">
        <v>2014</v>
      </c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6">
        <v>2015</v>
      </c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9">
        <v>2016</v>
      </c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>
        <v>2017</v>
      </c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6">
        <v>2018</v>
      </c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>
        <v>2019</v>
      </c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>
        <v>2020</v>
      </c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>
        <v>2021</v>
      </c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6">
        <v>2022</v>
      </c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>
        <v>2023</v>
      </c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>
        <v>2024</v>
      </c>
      <c r="GQ56" s="19"/>
      <c r="GR56" s="19"/>
      <c r="GS56" s="19"/>
      <c r="GV56" s="13">
        <v>2007</v>
      </c>
      <c r="GW56" s="13"/>
      <c r="GX56" s="13"/>
      <c r="GY56" s="14"/>
      <c r="GZ56" s="15">
        <v>2008</v>
      </c>
      <c r="HA56" s="16"/>
      <c r="HB56" s="17"/>
      <c r="HC56" s="16"/>
      <c r="HD56" s="16"/>
      <c r="HE56" s="16"/>
      <c r="HF56" s="18"/>
      <c r="HG56" s="18"/>
      <c r="HH56" s="18"/>
      <c r="HI56" s="18"/>
      <c r="HJ56" s="18"/>
      <c r="HK56" s="18"/>
      <c r="HL56" s="19">
        <v>2009</v>
      </c>
      <c r="HM56" s="19"/>
      <c r="HN56" s="19"/>
      <c r="HO56" s="19"/>
      <c r="HP56" s="19"/>
      <c r="HQ56" s="19"/>
      <c r="HR56" s="19"/>
      <c r="HS56" s="19"/>
      <c r="HT56" s="19"/>
      <c r="HU56" s="46"/>
      <c r="HV56" s="46"/>
      <c r="HW56" s="46"/>
      <c r="HX56" s="19">
        <v>2010</v>
      </c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>
        <v>2011</v>
      </c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>
        <v>2012</v>
      </c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>
        <v>2013</v>
      </c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>
        <v>2014</v>
      </c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>
        <v>2015</v>
      </c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>
        <v>2016</v>
      </c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>
        <v>2017</v>
      </c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>
        <v>2018</v>
      </c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>
        <v>2019</v>
      </c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>
        <v>2020</v>
      </c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>
        <v>2021</v>
      </c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>
        <v>2022</v>
      </c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>
        <v>2023</v>
      </c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>
        <v>2024</v>
      </c>
      <c r="OK56" s="19"/>
      <c r="OL56" s="19"/>
    </row>
    <row r="57" spans="1:402" x14ac:dyDescent="0.35">
      <c r="B57" s="20" t="s">
        <v>3</v>
      </c>
      <c r="C57" s="20" t="s">
        <v>4</v>
      </c>
      <c r="D57" s="20" t="s">
        <v>5</v>
      </c>
      <c r="E57" s="20" t="s">
        <v>6</v>
      </c>
      <c r="F57" s="20" t="s">
        <v>7</v>
      </c>
      <c r="G57" s="20" t="s">
        <v>8</v>
      </c>
      <c r="H57" s="20" t="s">
        <v>9</v>
      </c>
      <c r="I57" s="20" t="s">
        <v>10</v>
      </c>
      <c r="J57" s="20" t="s">
        <v>11</v>
      </c>
      <c r="K57" s="20" t="s">
        <v>12</v>
      </c>
      <c r="L57" s="20" t="s">
        <v>13</v>
      </c>
      <c r="M57" s="20" t="s">
        <v>14</v>
      </c>
      <c r="N57" s="20" t="s">
        <v>3</v>
      </c>
      <c r="O57" s="20" t="s">
        <v>4</v>
      </c>
      <c r="P57" s="20" t="s">
        <v>5</v>
      </c>
      <c r="Q57" s="20" t="s">
        <v>15</v>
      </c>
      <c r="R57" s="22" t="s">
        <v>7</v>
      </c>
      <c r="S57" s="22" t="s">
        <v>8</v>
      </c>
      <c r="T57" s="22" t="s">
        <v>9</v>
      </c>
      <c r="U57" s="22" t="s">
        <v>10</v>
      </c>
      <c r="V57" s="22" t="s">
        <v>11</v>
      </c>
      <c r="W57" s="22" t="s">
        <v>12</v>
      </c>
      <c r="X57" s="22" t="s">
        <v>13</v>
      </c>
      <c r="Y57" s="22" t="s">
        <v>14</v>
      </c>
      <c r="Z57" s="22" t="s">
        <v>16</v>
      </c>
      <c r="AA57" s="22" t="s">
        <v>4</v>
      </c>
      <c r="AB57" s="22" t="s">
        <v>5</v>
      </c>
      <c r="AC57" s="22" t="s">
        <v>6</v>
      </c>
      <c r="AD57" s="22" t="s">
        <v>17</v>
      </c>
      <c r="AE57" s="22" t="s">
        <v>8</v>
      </c>
      <c r="AF57" s="22" t="s">
        <v>18</v>
      </c>
      <c r="AG57" s="22" t="s">
        <v>10</v>
      </c>
      <c r="AH57" s="22" t="s">
        <v>11</v>
      </c>
      <c r="AI57" s="22" t="s">
        <v>12</v>
      </c>
      <c r="AJ57" s="22" t="s">
        <v>13</v>
      </c>
      <c r="AK57" s="22" t="s">
        <v>14</v>
      </c>
      <c r="AL57" s="22" t="s">
        <v>16</v>
      </c>
      <c r="AM57" s="22" t="s">
        <v>19</v>
      </c>
      <c r="AN57" s="22" t="s">
        <v>5</v>
      </c>
      <c r="AO57" s="22" t="s">
        <v>6</v>
      </c>
      <c r="AP57" s="22" t="s">
        <v>7</v>
      </c>
      <c r="AQ57" s="22" t="s">
        <v>8</v>
      </c>
      <c r="AR57" s="22" t="s">
        <v>9</v>
      </c>
      <c r="AS57" s="22" t="s">
        <v>10</v>
      </c>
      <c r="AT57" s="22" t="s">
        <v>11</v>
      </c>
      <c r="AU57" s="22" t="s">
        <v>12</v>
      </c>
      <c r="AV57" s="22" t="s">
        <v>13</v>
      </c>
      <c r="AW57" s="22" t="s">
        <v>14</v>
      </c>
      <c r="AX57" s="22" t="s">
        <v>3</v>
      </c>
      <c r="AY57" s="22" t="s">
        <v>4</v>
      </c>
      <c r="AZ57" s="22" t="s">
        <v>5</v>
      </c>
      <c r="BA57" s="22" t="s">
        <v>15</v>
      </c>
      <c r="BB57" s="22" t="s">
        <v>7</v>
      </c>
      <c r="BC57" s="22" t="s">
        <v>8</v>
      </c>
      <c r="BD57" s="22" t="s">
        <v>18</v>
      </c>
      <c r="BE57" s="22" t="s">
        <v>10</v>
      </c>
      <c r="BF57" s="22" t="s">
        <v>11</v>
      </c>
      <c r="BG57" s="22" t="s">
        <v>12</v>
      </c>
      <c r="BH57" s="22" t="s">
        <v>20</v>
      </c>
      <c r="BI57" s="22" t="s">
        <v>21</v>
      </c>
      <c r="BJ57" s="22" t="s">
        <v>16</v>
      </c>
      <c r="BK57" s="22" t="s">
        <v>19</v>
      </c>
      <c r="BL57" s="22" t="s">
        <v>5</v>
      </c>
      <c r="BM57" s="22" t="s">
        <v>15</v>
      </c>
      <c r="BN57" s="22" t="s">
        <v>7</v>
      </c>
      <c r="BO57" s="22" t="s">
        <v>8</v>
      </c>
      <c r="BP57" s="22" t="s">
        <v>9</v>
      </c>
      <c r="BQ57" s="22" t="s">
        <v>10</v>
      </c>
      <c r="BR57" s="22" t="s">
        <v>11</v>
      </c>
      <c r="BS57" s="22" t="s">
        <v>12</v>
      </c>
      <c r="BT57" s="22" t="s">
        <v>20</v>
      </c>
      <c r="BU57" s="22" t="s">
        <v>21</v>
      </c>
      <c r="BV57" s="22" t="s">
        <v>22</v>
      </c>
      <c r="BW57" s="22" t="s">
        <v>4</v>
      </c>
      <c r="BX57" s="22" t="s">
        <v>5</v>
      </c>
      <c r="BY57" s="22" t="s">
        <v>6</v>
      </c>
      <c r="BZ57" s="22" t="s">
        <v>17</v>
      </c>
      <c r="CA57" s="22" t="s">
        <v>23</v>
      </c>
      <c r="CB57" s="22" t="s">
        <v>18</v>
      </c>
      <c r="CC57" s="22" t="s">
        <v>24</v>
      </c>
      <c r="CD57" s="22" t="s">
        <v>11</v>
      </c>
      <c r="CE57" s="22" t="s">
        <v>12</v>
      </c>
      <c r="CF57" s="22" t="s">
        <v>13</v>
      </c>
      <c r="CG57" s="22" t="s">
        <v>14</v>
      </c>
      <c r="CH57" s="22" t="s">
        <v>16</v>
      </c>
      <c r="CI57" s="22" t="s">
        <v>4</v>
      </c>
      <c r="CJ57" s="22" t="s">
        <v>5</v>
      </c>
      <c r="CK57" s="22" t="s">
        <v>6</v>
      </c>
      <c r="CL57" s="22" t="s">
        <v>7</v>
      </c>
      <c r="CM57" s="22" t="s">
        <v>8</v>
      </c>
      <c r="CN57" s="22" t="s">
        <v>18</v>
      </c>
      <c r="CO57" s="22" t="s">
        <v>10</v>
      </c>
      <c r="CP57" s="22" t="s">
        <v>11</v>
      </c>
      <c r="CQ57" s="22" t="s">
        <v>12</v>
      </c>
      <c r="CR57" s="22" t="s">
        <v>20</v>
      </c>
      <c r="CS57" s="22" t="s">
        <v>14</v>
      </c>
      <c r="CT57" s="22" t="s">
        <v>22</v>
      </c>
      <c r="CU57" s="22" t="s">
        <v>19</v>
      </c>
      <c r="CV57" s="22" t="s">
        <v>5</v>
      </c>
      <c r="CW57" s="22" t="s">
        <v>15</v>
      </c>
      <c r="CX57" s="22" t="s">
        <v>7</v>
      </c>
      <c r="CY57" s="22" t="s">
        <v>23</v>
      </c>
      <c r="CZ57" s="22" t="s">
        <v>18</v>
      </c>
      <c r="DA57" s="22" t="s">
        <v>24</v>
      </c>
      <c r="DB57" s="22" t="s">
        <v>11</v>
      </c>
      <c r="DC57" s="22" t="s">
        <v>12</v>
      </c>
      <c r="DD57" s="22" t="s">
        <v>13</v>
      </c>
      <c r="DE57" s="22" t="s">
        <v>14</v>
      </c>
      <c r="DF57" s="22" t="s">
        <v>16</v>
      </c>
      <c r="DG57" s="22" t="s">
        <v>4</v>
      </c>
      <c r="DH57" s="22" t="s">
        <v>5</v>
      </c>
      <c r="DI57" s="22" t="s">
        <v>15</v>
      </c>
      <c r="DJ57" s="22" t="s">
        <v>7</v>
      </c>
      <c r="DK57" s="22" t="s">
        <v>8</v>
      </c>
      <c r="DL57" s="22" t="s">
        <v>18</v>
      </c>
      <c r="DM57" s="22" t="s">
        <v>24</v>
      </c>
      <c r="DN57" s="22" t="s">
        <v>11</v>
      </c>
      <c r="DO57" s="22" t="s">
        <v>12</v>
      </c>
      <c r="DP57" s="22" t="s">
        <v>20</v>
      </c>
      <c r="DQ57" s="22" t="s">
        <v>14</v>
      </c>
      <c r="DR57" s="22" t="s">
        <v>22</v>
      </c>
      <c r="DS57" s="22" t="s">
        <v>19</v>
      </c>
      <c r="DT57" s="22" t="s">
        <v>5</v>
      </c>
      <c r="DU57" s="22" t="s">
        <v>15</v>
      </c>
      <c r="DV57" s="22" t="s">
        <v>7</v>
      </c>
      <c r="DW57" s="22" t="s">
        <v>8</v>
      </c>
      <c r="DX57" s="22" t="s">
        <v>18</v>
      </c>
      <c r="DY57" s="22" t="s">
        <v>24</v>
      </c>
      <c r="DZ57" s="22" t="s">
        <v>11</v>
      </c>
      <c r="EA57" s="22" t="s">
        <v>12</v>
      </c>
      <c r="EB57" s="22" t="s">
        <v>20</v>
      </c>
      <c r="EC57" s="22" t="s">
        <v>21</v>
      </c>
      <c r="ED57" s="22" t="s">
        <v>22</v>
      </c>
      <c r="EE57" s="22" t="s">
        <v>4</v>
      </c>
      <c r="EF57" s="22" t="s">
        <v>5</v>
      </c>
      <c r="EG57" s="22" t="s">
        <v>15</v>
      </c>
      <c r="EH57" s="22" t="s">
        <v>17</v>
      </c>
      <c r="EI57" s="22" t="s">
        <v>23</v>
      </c>
      <c r="EJ57" s="22" t="s">
        <v>18</v>
      </c>
      <c r="EK57" s="22" t="s">
        <v>24</v>
      </c>
      <c r="EL57" s="22" t="s">
        <v>11</v>
      </c>
      <c r="EM57" s="22" t="s">
        <v>12</v>
      </c>
      <c r="EN57" s="22" t="s">
        <v>20</v>
      </c>
      <c r="EO57" s="22" t="s">
        <v>21</v>
      </c>
      <c r="EP57" s="22" t="s">
        <v>22</v>
      </c>
      <c r="EQ57" s="22" t="s">
        <v>4</v>
      </c>
      <c r="ER57" s="22" t="s">
        <v>5</v>
      </c>
      <c r="ES57" s="22" t="s">
        <v>6</v>
      </c>
      <c r="ET57" s="22" t="s">
        <v>17</v>
      </c>
      <c r="EU57" s="22" t="s">
        <v>8</v>
      </c>
      <c r="EV57" s="22" t="s">
        <v>18</v>
      </c>
      <c r="EW57" s="22" t="s">
        <v>24</v>
      </c>
      <c r="EX57" s="22" t="s">
        <v>11</v>
      </c>
      <c r="EY57" s="22" t="s">
        <v>12</v>
      </c>
      <c r="EZ57" s="22" t="s">
        <v>20</v>
      </c>
      <c r="FA57" s="22" t="s">
        <v>14</v>
      </c>
      <c r="FB57" s="22" t="s">
        <v>22</v>
      </c>
      <c r="FC57" s="22" t="s">
        <v>4</v>
      </c>
      <c r="FD57" s="22" t="s">
        <v>5</v>
      </c>
      <c r="FE57" s="22" t="s">
        <v>6</v>
      </c>
      <c r="FF57" s="22" t="s">
        <v>7</v>
      </c>
      <c r="FG57" s="22" t="s">
        <v>8</v>
      </c>
      <c r="FH57" s="22" t="s">
        <v>9</v>
      </c>
      <c r="FI57" s="22" t="s">
        <v>24</v>
      </c>
      <c r="FJ57" s="22" t="s">
        <v>11</v>
      </c>
      <c r="FK57" s="22" t="s">
        <v>12</v>
      </c>
      <c r="FL57" s="22" t="s">
        <v>20</v>
      </c>
      <c r="FM57" s="22" t="s">
        <v>14</v>
      </c>
      <c r="FN57" s="22" t="s">
        <v>22</v>
      </c>
      <c r="FO57" s="22" t="s">
        <v>19</v>
      </c>
      <c r="FP57" s="22" t="s">
        <v>27</v>
      </c>
      <c r="FQ57" s="22" t="s">
        <v>15</v>
      </c>
      <c r="FR57" s="22" t="s">
        <v>7</v>
      </c>
      <c r="FS57" s="22" t="s">
        <v>8</v>
      </c>
      <c r="FT57" s="22" t="s">
        <v>9</v>
      </c>
      <c r="FU57" s="22" t="s">
        <v>10</v>
      </c>
      <c r="FV57" s="22" t="s">
        <v>11</v>
      </c>
      <c r="FW57" s="22" t="s">
        <v>12</v>
      </c>
      <c r="FX57" s="22" t="s">
        <v>20</v>
      </c>
      <c r="FY57" s="22" t="s">
        <v>14</v>
      </c>
      <c r="FZ57" s="22" t="s">
        <v>16</v>
      </c>
      <c r="GA57" s="22" t="s">
        <v>19</v>
      </c>
      <c r="GB57" s="22" t="s">
        <v>5</v>
      </c>
      <c r="GC57" s="22" t="s">
        <v>6</v>
      </c>
      <c r="GD57" s="22" t="s">
        <v>7</v>
      </c>
      <c r="GE57" s="22" t="s">
        <v>8</v>
      </c>
      <c r="GF57" s="22" t="s">
        <v>18</v>
      </c>
      <c r="GG57" s="22" t="s">
        <v>24</v>
      </c>
      <c r="GH57" s="22" t="s">
        <v>11</v>
      </c>
      <c r="GI57" s="22" t="s">
        <v>12</v>
      </c>
      <c r="GJ57" s="22" t="s">
        <v>13</v>
      </c>
      <c r="GK57" s="22" t="s">
        <v>14</v>
      </c>
      <c r="GL57" s="22" t="s">
        <v>22</v>
      </c>
      <c r="GM57" s="22" t="s">
        <v>4</v>
      </c>
      <c r="GN57" s="22" t="s">
        <v>5</v>
      </c>
      <c r="GO57" s="22" t="s">
        <v>6</v>
      </c>
      <c r="GP57" s="22" t="s">
        <v>7</v>
      </c>
      <c r="GQ57" s="22" t="s">
        <v>8</v>
      </c>
      <c r="GR57" s="22" t="s">
        <v>18</v>
      </c>
      <c r="GS57" s="22" t="s">
        <v>25</v>
      </c>
      <c r="GT57" s="2"/>
      <c r="GU57" s="2"/>
      <c r="GV57" s="20" t="s">
        <v>3</v>
      </c>
      <c r="GW57" s="21" t="s">
        <v>4</v>
      </c>
      <c r="GX57" s="20" t="s">
        <v>5</v>
      </c>
      <c r="GY57" s="20" t="s">
        <v>6</v>
      </c>
      <c r="GZ57" s="20" t="s">
        <v>7</v>
      </c>
      <c r="HA57" s="20" t="s">
        <v>8</v>
      </c>
      <c r="HB57" s="20" t="s">
        <v>9</v>
      </c>
      <c r="HC57" s="20" t="s">
        <v>10</v>
      </c>
      <c r="HD57" s="20" t="s">
        <v>11</v>
      </c>
      <c r="HE57" s="20" t="s">
        <v>12</v>
      </c>
      <c r="HF57" s="20" t="s">
        <v>13</v>
      </c>
      <c r="HG57" s="20" t="s">
        <v>14</v>
      </c>
      <c r="HH57" s="20" t="s">
        <v>3</v>
      </c>
      <c r="HI57" s="20" t="s">
        <v>4</v>
      </c>
      <c r="HJ57" s="20" t="s">
        <v>5</v>
      </c>
      <c r="HK57" s="20" t="s">
        <v>15</v>
      </c>
      <c r="HL57" s="22" t="s">
        <v>7</v>
      </c>
      <c r="HM57" s="22" t="s">
        <v>8</v>
      </c>
      <c r="HN57" s="22" t="s">
        <v>9</v>
      </c>
      <c r="HO57" s="22" t="s">
        <v>10</v>
      </c>
      <c r="HP57" s="22" t="s">
        <v>11</v>
      </c>
      <c r="HQ57" s="22" t="s">
        <v>12</v>
      </c>
      <c r="HR57" s="22" t="s">
        <v>13</v>
      </c>
      <c r="HS57" s="22" t="s">
        <v>14</v>
      </c>
      <c r="HT57" s="22" t="s">
        <v>16</v>
      </c>
      <c r="HU57" s="44" t="s">
        <v>4</v>
      </c>
      <c r="HV57" s="22" t="s">
        <v>5</v>
      </c>
      <c r="HW57" s="22" t="s">
        <v>6</v>
      </c>
      <c r="HX57" s="22" t="s">
        <v>17</v>
      </c>
      <c r="HY57" s="22" t="s">
        <v>8</v>
      </c>
      <c r="HZ57" s="22" t="s">
        <v>18</v>
      </c>
      <c r="IA57" s="22" t="s">
        <v>10</v>
      </c>
      <c r="IB57" s="22" t="s">
        <v>11</v>
      </c>
      <c r="IC57" s="22" t="s">
        <v>12</v>
      </c>
      <c r="ID57" s="22" t="s">
        <v>13</v>
      </c>
      <c r="IE57" s="22" t="s">
        <v>26</v>
      </c>
      <c r="IF57" s="22" t="s">
        <v>16</v>
      </c>
      <c r="IG57" s="22" t="s">
        <v>4</v>
      </c>
      <c r="IH57" s="22" t="s">
        <v>5</v>
      </c>
      <c r="II57" s="22" t="s">
        <v>6</v>
      </c>
      <c r="IJ57" s="22" t="s">
        <v>7</v>
      </c>
      <c r="IK57" s="22" t="s">
        <v>8</v>
      </c>
      <c r="IL57" s="22" t="s">
        <v>18</v>
      </c>
      <c r="IM57" s="22" t="s">
        <v>10</v>
      </c>
      <c r="IN57" s="22" t="s">
        <v>11</v>
      </c>
      <c r="IO57" s="22" t="s">
        <v>12</v>
      </c>
      <c r="IP57" s="22" t="s">
        <v>13</v>
      </c>
      <c r="IQ57" s="22" t="s">
        <v>14</v>
      </c>
      <c r="IR57" s="22" t="s">
        <v>3</v>
      </c>
      <c r="IS57" s="22" t="s">
        <v>4</v>
      </c>
      <c r="IT57" s="22" t="s">
        <v>5</v>
      </c>
      <c r="IU57" s="22" t="s">
        <v>15</v>
      </c>
      <c r="IV57" s="22" t="s">
        <v>7</v>
      </c>
      <c r="IW57" s="22" t="s">
        <v>8</v>
      </c>
      <c r="IX57" s="22" t="s">
        <v>18</v>
      </c>
      <c r="IY57" s="22" t="s">
        <v>10</v>
      </c>
      <c r="IZ57" s="22" t="s">
        <v>11</v>
      </c>
      <c r="JA57" s="22" t="s">
        <v>12</v>
      </c>
      <c r="JB57" s="22" t="s">
        <v>20</v>
      </c>
      <c r="JC57" s="22" t="s">
        <v>21</v>
      </c>
      <c r="JD57" s="22" t="s">
        <v>16</v>
      </c>
      <c r="JE57" s="22" t="s">
        <v>4</v>
      </c>
      <c r="JF57" s="22" t="s">
        <v>5</v>
      </c>
      <c r="JG57" s="22" t="s">
        <v>6</v>
      </c>
      <c r="JH57" s="22" t="s">
        <v>7</v>
      </c>
      <c r="JI57" s="22" t="s">
        <v>8</v>
      </c>
      <c r="JJ57" s="22" t="s">
        <v>9</v>
      </c>
      <c r="JK57" s="22" t="s">
        <v>10</v>
      </c>
      <c r="JL57" s="22" t="s">
        <v>11</v>
      </c>
      <c r="JM57" s="22" t="s">
        <v>12</v>
      </c>
      <c r="JN57" s="22" t="s">
        <v>20</v>
      </c>
      <c r="JO57" s="22" t="s">
        <v>21</v>
      </c>
      <c r="JP57" s="22" t="s">
        <v>22</v>
      </c>
      <c r="JQ57" s="22" t="s">
        <v>4</v>
      </c>
      <c r="JR57" s="22" t="s">
        <v>5</v>
      </c>
      <c r="JS57" s="22" t="s">
        <v>6</v>
      </c>
      <c r="JT57" s="22" t="s">
        <v>17</v>
      </c>
      <c r="JU57" s="22" t="s">
        <v>23</v>
      </c>
      <c r="JV57" s="22" t="s">
        <v>18</v>
      </c>
      <c r="JW57" s="22" t="s">
        <v>24</v>
      </c>
      <c r="JX57" s="22" t="s">
        <v>11</v>
      </c>
      <c r="JY57" s="22" t="s">
        <v>12</v>
      </c>
      <c r="JZ57" s="22" t="s">
        <v>13</v>
      </c>
      <c r="KA57" s="22" t="s">
        <v>14</v>
      </c>
      <c r="KB57" s="22" t="s">
        <v>22</v>
      </c>
      <c r="KC57" s="22" t="s">
        <v>4</v>
      </c>
      <c r="KD57" s="22" t="s">
        <v>5</v>
      </c>
      <c r="KE57" s="22" t="s">
        <v>6</v>
      </c>
      <c r="KF57" s="22" t="s">
        <v>17</v>
      </c>
      <c r="KG57" s="22" t="s">
        <v>8</v>
      </c>
      <c r="KH57" s="22" t="s">
        <v>18</v>
      </c>
      <c r="KI57" s="22" t="s">
        <v>10</v>
      </c>
      <c r="KJ57" s="22" t="s">
        <v>11</v>
      </c>
      <c r="KK57" s="22" t="s">
        <v>12</v>
      </c>
      <c r="KL57" s="22" t="s">
        <v>20</v>
      </c>
      <c r="KM57" s="22" t="s">
        <v>21</v>
      </c>
      <c r="KN57" s="22" t="s">
        <v>16</v>
      </c>
      <c r="KO57" s="22" t="s">
        <v>19</v>
      </c>
      <c r="KP57" s="22" t="s">
        <v>5</v>
      </c>
      <c r="KQ57" s="22" t="s">
        <v>6</v>
      </c>
      <c r="KR57" s="22" t="s">
        <v>7</v>
      </c>
      <c r="KS57" s="22" t="s">
        <v>8</v>
      </c>
      <c r="KT57" s="22" t="s">
        <v>18</v>
      </c>
      <c r="KU57" s="22" t="s">
        <v>24</v>
      </c>
      <c r="KV57" s="22" t="s">
        <v>11</v>
      </c>
      <c r="KW57" s="22" t="s">
        <v>12</v>
      </c>
      <c r="KX57" s="22" t="s">
        <v>20</v>
      </c>
      <c r="KY57" s="22" t="s">
        <v>14</v>
      </c>
      <c r="KZ57" s="22" t="s">
        <v>16</v>
      </c>
      <c r="LA57" s="22" t="s">
        <v>4</v>
      </c>
      <c r="LB57" s="22" t="s">
        <v>27</v>
      </c>
      <c r="LC57" s="22" t="s">
        <v>6</v>
      </c>
      <c r="LD57" s="22" t="s">
        <v>7</v>
      </c>
      <c r="LE57" s="22" t="s">
        <v>8</v>
      </c>
      <c r="LF57" s="22" t="s">
        <v>9</v>
      </c>
      <c r="LG57" s="22" t="s">
        <v>24</v>
      </c>
      <c r="LH57" s="22" t="s">
        <v>11</v>
      </c>
      <c r="LI57" s="22" t="s">
        <v>12</v>
      </c>
      <c r="LJ57" s="22" t="s">
        <v>20</v>
      </c>
      <c r="LK57" s="22" t="s">
        <v>14</v>
      </c>
      <c r="LL57" s="22" t="s">
        <v>22</v>
      </c>
      <c r="LM57" s="22" t="s">
        <v>19</v>
      </c>
      <c r="LN57" s="22" t="s">
        <v>5</v>
      </c>
      <c r="LO57" s="22" t="s">
        <v>15</v>
      </c>
      <c r="LP57" s="22" t="s">
        <v>7</v>
      </c>
      <c r="LQ57" s="22" t="s">
        <v>8</v>
      </c>
      <c r="LR57" s="22" t="s">
        <v>18</v>
      </c>
      <c r="LS57" s="22" t="s">
        <v>10</v>
      </c>
      <c r="LT57" s="22" t="s">
        <v>11</v>
      </c>
      <c r="LU57" s="22" t="s">
        <v>12</v>
      </c>
      <c r="LV57" s="22" t="s">
        <v>13</v>
      </c>
      <c r="LW57" s="22" t="s">
        <v>14</v>
      </c>
      <c r="LX57" s="22" t="s">
        <v>22</v>
      </c>
      <c r="LY57" s="22" t="s">
        <v>4</v>
      </c>
      <c r="LZ57" s="22" t="s">
        <v>5</v>
      </c>
      <c r="MA57" s="22" t="s">
        <v>6</v>
      </c>
      <c r="MB57" s="22" t="s">
        <v>17</v>
      </c>
      <c r="MC57" s="22" t="s">
        <v>8</v>
      </c>
      <c r="MD57" s="22" t="s">
        <v>18</v>
      </c>
      <c r="ME57" s="22" t="s">
        <v>24</v>
      </c>
      <c r="MF57" s="22" t="s">
        <v>11</v>
      </c>
      <c r="MG57" s="22" t="s">
        <v>101</v>
      </c>
      <c r="MH57" s="22" t="s">
        <v>20</v>
      </c>
      <c r="MI57" s="22" t="s">
        <v>14</v>
      </c>
      <c r="MJ57" s="22" t="s">
        <v>22</v>
      </c>
      <c r="MK57" s="22" t="s">
        <v>4</v>
      </c>
      <c r="ML57" s="22" t="s">
        <v>5</v>
      </c>
      <c r="MM57" s="22" t="s">
        <v>6</v>
      </c>
      <c r="MN57" s="22" t="s">
        <v>17</v>
      </c>
      <c r="MO57" s="22" t="s">
        <v>8</v>
      </c>
      <c r="MP57" s="22" t="s">
        <v>18</v>
      </c>
      <c r="MQ57" s="22" t="s">
        <v>24</v>
      </c>
      <c r="MR57" s="22" t="s">
        <v>11</v>
      </c>
      <c r="MS57" s="22" t="s">
        <v>12</v>
      </c>
      <c r="MT57" s="22" t="s">
        <v>20</v>
      </c>
      <c r="MU57" s="22" t="s">
        <v>14</v>
      </c>
      <c r="MV57" s="22" t="s">
        <v>22</v>
      </c>
      <c r="MW57" s="22" t="s">
        <v>4</v>
      </c>
      <c r="MX57" s="22" t="s">
        <v>5</v>
      </c>
      <c r="MY57" s="22" t="s">
        <v>6</v>
      </c>
      <c r="MZ57" s="22" t="s">
        <v>7</v>
      </c>
      <c r="NA57" s="22" t="s">
        <v>8</v>
      </c>
      <c r="NB57" s="22" t="s">
        <v>18</v>
      </c>
      <c r="NC57" s="22" t="s">
        <v>24</v>
      </c>
      <c r="ND57" s="22" t="s">
        <v>11</v>
      </c>
      <c r="NE57" s="22" t="s">
        <v>12</v>
      </c>
      <c r="NF57" s="22" t="s">
        <v>20</v>
      </c>
      <c r="NG57" s="22" t="s">
        <v>14</v>
      </c>
      <c r="NH57" s="22" t="s">
        <v>22</v>
      </c>
      <c r="NI57" s="22" t="s">
        <v>19</v>
      </c>
      <c r="NJ57" s="22" t="s">
        <v>27</v>
      </c>
      <c r="NK57" s="22" t="s">
        <v>6</v>
      </c>
      <c r="NL57" s="22" t="s">
        <v>7</v>
      </c>
      <c r="NM57" s="22" t="s">
        <v>8</v>
      </c>
      <c r="NN57" s="22" t="s">
        <v>9</v>
      </c>
      <c r="NO57" s="22" t="s">
        <v>10</v>
      </c>
      <c r="NP57" s="22" t="s">
        <v>11</v>
      </c>
      <c r="NQ57" s="22" t="s">
        <v>12</v>
      </c>
      <c r="NR57" s="22" t="s">
        <v>20</v>
      </c>
      <c r="NS57" s="22" t="s">
        <v>14</v>
      </c>
      <c r="NT57" s="22" t="s">
        <v>16</v>
      </c>
      <c r="NU57" s="22" t="s">
        <v>19</v>
      </c>
      <c r="NV57" s="22" t="s">
        <v>5</v>
      </c>
      <c r="NW57" s="22" t="s">
        <v>6</v>
      </c>
      <c r="NX57" s="22" t="s">
        <v>7</v>
      </c>
      <c r="NY57" s="22" t="s">
        <v>8</v>
      </c>
      <c r="NZ57" s="22" t="s">
        <v>18</v>
      </c>
      <c r="OA57" s="22" t="s">
        <v>24</v>
      </c>
      <c r="OB57" s="22" t="s">
        <v>11</v>
      </c>
      <c r="OC57" s="22" t="s">
        <v>12</v>
      </c>
      <c r="OD57" s="22" t="s">
        <v>13</v>
      </c>
      <c r="OE57" s="22" t="s">
        <v>14</v>
      </c>
      <c r="OF57" s="22" t="s">
        <v>16</v>
      </c>
      <c r="OG57" s="22" t="s">
        <v>4</v>
      </c>
      <c r="OH57" s="22" t="s">
        <v>5</v>
      </c>
      <c r="OI57" s="22" t="s">
        <v>15</v>
      </c>
      <c r="OJ57" s="22" t="s">
        <v>7</v>
      </c>
      <c r="OK57" s="22" t="s">
        <v>8</v>
      </c>
      <c r="OL57" s="22" t="s">
        <v>18</v>
      </c>
    </row>
    <row r="58" spans="1:402" s="145" customFormat="1" ht="19.5" customHeight="1" x14ac:dyDescent="0.35">
      <c r="A58" s="12" t="s">
        <v>29</v>
      </c>
      <c r="B58" s="156">
        <v>244</v>
      </c>
      <c r="C58" s="156">
        <v>259</v>
      </c>
      <c r="D58" s="156">
        <v>276</v>
      </c>
      <c r="E58" s="156">
        <f>260</f>
        <v>260</v>
      </c>
      <c r="F58" s="156">
        <f>'[2]Jan 08'!$C$21</f>
        <v>281</v>
      </c>
      <c r="G58" s="143">
        <f>'[1]Feb 08'!C21</f>
        <v>312</v>
      </c>
      <c r="H58" s="143">
        <f>'[1]Mar 08'!C21</f>
        <v>316</v>
      </c>
      <c r="I58" s="143">
        <v>321</v>
      </c>
      <c r="J58" s="143">
        <f>'[1]May 08'!C21</f>
        <v>307</v>
      </c>
      <c r="K58" s="143">
        <f>'[1]Jun 08'!C21</f>
        <v>278</v>
      </c>
      <c r="L58" s="143">
        <f>'[1]Jul 08'!C21</f>
        <v>269</v>
      </c>
      <c r="M58" s="143">
        <f>'[1]Aug 08'!C21</f>
        <v>270</v>
      </c>
      <c r="N58" s="143">
        <v>273</v>
      </c>
      <c r="O58" s="143">
        <v>297</v>
      </c>
      <c r="P58" s="143">
        <v>303</v>
      </c>
      <c r="Q58" s="143">
        <v>284</v>
      </c>
      <c r="R58" s="143">
        <v>293</v>
      </c>
      <c r="S58" s="143">
        <v>298</v>
      </c>
      <c r="T58" s="143">
        <v>302</v>
      </c>
      <c r="U58" s="143">
        <v>303</v>
      </c>
      <c r="V58" s="143">
        <v>285</v>
      </c>
      <c r="W58" s="143">
        <v>246</v>
      </c>
      <c r="X58" s="143">
        <v>237</v>
      </c>
      <c r="Y58" s="143">
        <v>241</v>
      </c>
      <c r="Z58" s="143">
        <v>212</v>
      </c>
      <c r="AA58" s="143">
        <v>234</v>
      </c>
      <c r="AB58" s="143">
        <v>242</v>
      </c>
      <c r="AC58" s="143">
        <v>230</v>
      </c>
      <c r="AD58" s="143">
        <v>239</v>
      </c>
      <c r="AE58" s="143">
        <v>240</v>
      </c>
      <c r="AF58" s="143">
        <v>237</v>
      </c>
      <c r="AG58" s="143">
        <v>220</v>
      </c>
      <c r="AH58" s="143">
        <v>200</v>
      </c>
      <c r="AI58" s="143">
        <v>182</v>
      </c>
      <c r="AJ58" s="143">
        <v>177</v>
      </c>
      <c r="AK58" s="143">
        <v>168</v>
      </c>
      <c r="AL58" s="143">
        <v>167</v>
      </c>
      <c r="AM58" s="143">
        <v>163</v>
      </c>
      <c r="AN58" s="143">
        <v>168</v>
      </c>
      <c r="AO58" s="143">
        <v>168</v>
      </c>
      <c r="AP58" s="143">
        <v>164</v>
      </c>
      <c r="AQ58" s="143">
        <v>167</v>
      </c>
      <c r="AR58" s="143">
        <v>168</v>
      </c>
      <c r="AS58" s="143">
        <v>163</v>
      </c>
      <c r="AT58" s="143">
        <v>143</v>
      </c>
      <c r="AU58" s="143">
        <v>129</v>
      </c>
      <c r="AV58" s="143">
        <v>118</v>
      </c>
      <c r="AW58" s="143">
        <v>121</v>
      </c>
      <c r="AX58" s="143">
        <v>124</v>
      </c>
      <c r="AY58" s="143">
        <v>136</v>
      </c>
      <c r="AZ58" s="143">
        <v>140</v>
      </c>
      <c r="BA58" s="143">
        <v>136</v>
      </c>
      <c r="BB58" s="143">
        <v>139</v>
      </c>
      <c r="BC58" s="143">
        <v>149</v>
      </c>
      <c r="BD58" s="143">
        <v>135</v>
      </c>
      <c r="BE58" s="143">
        <v>133</v>
      </c>
      <c r="BF58" s="143">
        <v>119</v>
      </c>
      <c r="BG58" s="143">
        <v>117</v>
      </c>
      <c r="BH58" s="143">
        <v>112</v>
      </c>
      <c r="BI58" s="143">
        <v>94</v>
      </c>
      <c r="BJ58" s="143">
        <v>101</v>
      </c>
      <c r="BK58" s="143">
        <v>121</v>
      </c>
      <c r="BL58" s="143">
        <v>125</v>
      </c>
      <c r="BM58" s="143">
        <v>129</v>
      </c>
      <c r="BN58" s="143">
        <v>132</v>
      </c>
      <c r="BO58" s="143">
        <v>148</v>
      </c>
      <c r="BP58" s="143">
        <v>155</v>
      </c>
      <c r="BQ58" s="143">
        <v>137</v>
      </c>
      <c r="BR58" s="143">
        <v>119</v>
      </c>
      <c r="BS58" s="143">
        <v>107</v>
      </c>
      <c r="BT58" s="143">
        <v>99</v>
      </c>
      <c r="BU58" s="143">
        <v>99</v>
      </c>
      <c r="BV58" s="143">
        <v>111</v>
      </c>
      <c r="BW58" s="143">
        <v>139</v>
      </c>
      <c r="BX58" s="143">
        <v>142</v>
      </c>
      <c r="BY58" s="143">
        <v>133</v>
      </c>
      <c r="BZ58" s="143">
        <v>161</v>
      </c>
      <c r="CA58" s="143">
        <v>171</v>
      </c>
      <c r="CB58" s="143">
        <v>173</v>
      </c>
      <c r="CC58" s="143">
        <v>168</v>
      </c>
      <c r="CD58" s="143">
        <v>150</v>
      </c>
      <c r="CE58" s="143">
        <v>125</v>
      </c>
      <c r="CF58" s="143">
        <v>120</v>
      </c>
      <c r="CG58" s="143">
        <v>117</v>
      </c>
      <c r="CH58" s="143">
        <v>126</v>
      </c>
      <c r="CI58" s="143">
        <v>150</v>
      </c>
      <c r="CJ58" s="143">
        <v>149</v>
      </c>
      <c r="CK58" s="143">
        <v>151</v>
      </c>
      <c r="CL58" s="143">
        <v>179</v>
      </c>
      <c r="CM58" s="143">
        <v>192</v>
      </c>
      <c r="CN58" s="143">
        <v>203</v>
      </c>
      <c r="CO58" s="143">
        <v>191</v>
      </c>
      <c r="CP58" s="143">
        <v>181</v>
      </c>
      <c r="CQ58" s="143">
        <v>146</v>
      </c>
      <c r="CR58" s="143">
        <v>134</v>
      </c>
      <c r="CS58" s="143">
        <v>125</v>
      </c>
      <c r="CT58" s="143">
        <v>144</v>
      </c>
      <c r="CU58" s="143">
        <v>169</v>
      </c>
      <c r="CV58" s="143">
        <v>172</v>
      </c>
      <c r="CW58" s="143">
        <v>177</v>
      </c>
      <c r="CX58" s="143">
        <v>206</v>
      </c>
      <c r="CY58" s="143">
        <v>231</v>
      </c>
      <c r="CZ58" s="143">
        <v>239</v>
      </c>
      <c r="DA58" s="143">
        <v>224</v>
      </c>
      <c r="DB58" s="143">
        <v>213</v>
      </c>
      <c r="DC58" s="143">
        <v>185</v>
      </c>
      <c r="DD58" s="143">
        <v>159</v>
      </c>
      <c r="DE58" s="143">
        <v>153</v>
      </c>
      <c r="DF58" s="143">
        <v>184</v>
      </c>
      <c r="DG58" s="143">
        <v>203</v>
      </c>
      <c r="DH58" s="143">
        <v>208</v>
      </c>
      <c r="DI58" s="143">
        <v>203</v>
      </c>
      <c r="DJ58" s="143">
        <v>221</v>
      </c>
      <c r="DK58" s="143">
        <v>231</v>
      </c>
      <c r="DL58" s="143">
        <v>240</v>
      </c>
      <c r="DM58" s="143">
        <v>244</v>
      </c>
      <c r="DN58" s="143">
        <v>219</v>
      </c>
      <c r="DO58" s="143">
        <v>185</v>
      </c>
      <c r="DP58" s="143">
        <v>162</v>
      </c>
      <c r="DQ58" s="143">
        <v>170</v>
      </c>
      <c r="DR58" s="143">
        <v>184</v>
      </c>
      <c r="DS58" s="143">
        <v>217</v>
      </c>
      <c r="DT58" s="143">
        <v>212</v>
      </c>
      <c r="DU58" s="143">
        <v>204</v>
      </c>
      <c r="DV58" s="143">
        <v>234</v>
      </c>
      <c r="DW58" s="143">
        <v>229</v>
      </c>
      <c r="DX58" s="143">
        <v>247</v>
      </c>
      <c r="DY58" s="143">
        <v>252</v>
      </c>
      <c r="DZ58" s="143">
        <v>222</v>
      </c>
      <c r="EA58" s="143">
        <v>197</v>
      </c>
      <c r="EB58" s="143">
        <v>183</v>
      </c>
      <c r="EC58" s="143">
        <v>159</v>
      </c>
      <c r="ED58" s="143">
        <v>168</v>
      </c>
      <c r="EE58" s="143">
        <v>190</v>
      </c>
      <c r="EF58" s="143">
        <v>199</v>
      </c>
      <c r="EG58" s="143">
        <v>205</v>
      </c>
      <c r="EH58" s="143">
        <v>242</v>
      </c>
      <c r="EI58" s="143">
        <v>240</v>
      </c>
      <c r="EJ58" s="143">
        <v>245</v>
      </c>
      <c r="EK58" s="143">
        <v>223</v>
      </c>
      <c r="EL58" s="143">
        <v>215</v>
      </c>
      <c r="EM58" s="143">
        <v>189</v>
      </c>
      <c r="EN58" s="143">
        <v>155</v>
      </c>
      <c r="EO58" s="143">
        <v>148</v>
      </c>
      <c r="EP58" s="143">
        <v>159</v>
      </c>
      <c r="EQ58" s="143">
        <v>171</v>
      </c>
      <c r="ER58" s="143">
        <v>182</v>
      </c>
      <c r="ES58" s="143">
        <v>166</v>
      </c>
      <c r="ET58" s="143">
        <v>155</v>
      </c>
      <c r="EU58" s="143">
        <v>166</v>
      </c>
      <c r="EV58" s="143">
        <v>155</v>
      </c>
      <c r="EW58" s="143">
        <v>141</v>
      </c>
      <c r="EX58" s="143">
        <v>155</v>
      </c>
      <c r="EY58" s="143">
        <v>141</v>
      </c>
      <c r="EZ58" s="143">
        <v>138</v>
      </c>
      <c r="FA58" s="143">
        <v>131</v>
      </c>
      <c r="FB58" s="143">
        <v>110</v>
      </c>
      <c r="FC58" s="143">
        <v>108</v>
      </c>
      <c r="FD58" s="143">
        <v>89</v>
      </c>
      <c r="FE58" s="143">
        <v>82</v>
      </c>
      <c r="FF58" s="143">
        <v>63</v>
      </c>
      <c r="FG58" s="143">
        <v>46</v>
      </c>
      <c r="FH58" s="143">
        <v>46</v>
      </c>
      <c r="FI58" s="143">
        <v>54</v>
      </c>
      <c r="FJ58" s="143">
        <v>68</v>
      </c>
      <c r="FK58" s="143">
        <v>56</v>
      </c>
      <c r="FL58" s="143">
        <v>54</v>
      </c>
      <c r="FM58" s="143">
        <v>60</v>
      </c>
      <c r="FN58" s="143">
        <v>54</v>
      </c>
      <c r="FO58" s="143">
        <v>52</v>
      </c>
      <c r="FP58" s="143">
        <v>45</v>
      </c>
      <c r="FQ58" s="143">
        <v>38</v>
      </c>
      <c r="FR58" s="143">
        <v>31</v>
      </c>
      <c r="FS58" s="143">
        <v>26</v>
      </c>
      <c r="FT58" s="143">
        <v>46</v>
      </c>
      <c r="FU58" s="143">
        <v>68</v>
      </c>
      <c r="FV58" s="143">
        <v>93</v>
      </c>
      <c r="FW58" s="143">
        <v>133</v>
      </c>
      <c r="FX58" s="143">
        <v>130</v>
      </c>
      <c r="FY58" s="143">
        <v>134</v>
      </c>
      <c r="FZ58" s="143">
        <v>140</v>
      </c>
      <c r="GA58" s="143">
        <v>137</v>
      </c>
      <c r="GB58" s="143">
        <v>133</v>
      </c>
      <c r="GC58" s="143">
        <v>122</v>
      </c>
      <c r="GD58" s="143">
        <v>132</v>
      </c>
      <c r="GE58" s="143">
        <v>132</v>
      </c>
      <c r="GF58" s="143">
        <v>134</v>
      </c>
      <c r="GG58" s="143">
        <v>114</v>
      </c>
      <c r="GH58" s="143">
        <v>112</v>
      </c>
      <c r="GI58" s="143">
        <v>99</v>
      </c>
      <c r="GJ58" s="143">
        <v>99</v>
      </c>
      <c r="GK58" s="143">
        <v>110</v>
      </c>
      <c r="GL58" s="143">
        <v>133</v>
      </c>
      <c r="GM58" s="143">
        <v>158</v>
      </c>
      <c r="GN58" s="143">
        <v>158</v>
      </c>
      <c r="GO58" s="143">
        <v>139</v>
      </c>
      <c r="GP58" s="143">
        <v>167</v>
      </c>
      <c r="GQ58" s="143">
        <v>169</v>
      </c>
      <c r="GR58" s="143">
        <v>174</v>
      </c>
      <c r="GS58" s="143">
        <f>SUM(B58:GR58)/198</f>
        <v>169.83333333333334</v>
      </c>
      <c r="GT58" s="152"/>
      <c r="GU58" s="12" t="s">
        <v>29</v>
      </c>
      <c r="GV58" s="145" t="s">
        <v>30</v>
      </c>
      <c r="GW58" s="145">
        <f t="shared" ref="GW58:IB58" si="75">(C58-B58)/B58</f>
        <v>6.1475409836065573E-2</v>
      </c>
      <c r="GX58" s="145">
        <f t="shared" si="75"/>
        <v>6.5637065637065631E-2</v>
      </c>
      <c r="GY58" s="145">
        <f t="shared" si="75"/>
        <v>-5.7971014492753624E-2</v>
      </c>
      <c r="GZ58" s="145">
        <f t="shared" si="75"/>
        <v>8.0769230769230774E-2</v>
      </c>
      <c r="HA58" s="145">
        <f t="shared" si="75"/>
        <v>0.1103202846975089</v>
      </c>
      <c r="HB58" s="145">
        <f t="shared" si="75"/>
        <v>1.282051282051282E-2</v>
      </c>
      <c r="HC58" s="145">
        <f t="shared" si="75"/>
        <v>1.5822784810126583E-2</v>
      </c>
      <c r="HD58" s="145">
        <f t="shared" si="75"/>
        <v>-4.3613707165109032E-2</v>
      </c>
      <c r="HE58" s="145">
        <f t="shared" si="75"/>
        <v>-9.4462540716612378E-2</v>
      </c>
      <c r="HF58" s="145">
        <f t="shared" si="75"/>
        <v>-3.237410071942446E-2</v>
      </c>
      <c r="HG58" s="145">
        <f t="shared" si="75"/>
        <v>3.7174721189591076E-3</v>
      </c>
      <c r="HH58" s="145">
        <f t="shared" si="75"/>
        <v>1.1111111111111112E-2</v>
      </c>
      <c r="HI58" s="145">
        <f t="shared" si="75"/>
        <v>8.7912087912087919E-2</v>
      </c>
      <c r="HJ58" s="145">
        <f t="shared" si="75"/>
        <v>2.0202020202020204E-2</v>
      </c>
      <c r="HK58" s="145">
        <f t="shared" si="75"/>
        <v>-6.2706270627062702E-2</v>
      </c>
      <c r="HL58" s="145">
        <f t="shared" si="75"/>
        <v>3.1690140845070422E-2</v>
      </c>
      <c r="HM58" s="145">
        <f t="shared" si="75"/>
        <v>1.7064846416382253E-2</v>
      </c>
      <c r="HN58" s="145">
        <f t="shared" si="75"/>
        <v>1.3422818791946308E-2</v>
      </c>
      <c r="HO58" s="145">
        <f t="shared" si="75"/>
        <v>3.3112582781456954E-3</v>
      </c>
      <c r="HP58" s="145">
        <f t="shared" si="75"/>
        <v>-5.9405940594059403E-2</v>
      </c>
      <c r="HQ58" s="145">
        <f t="shared" si="75"/>
        <v>-0.1368421052631579</v>
      </c>
      <c r="HR58" s="145">
        <f t="shared" si="75"/>
        <v>-3.6585365853658534E-2</v>
      </c>
      <c r="HS58" s="145">
        <f t="shared" si="75"/>
        <v>1.6877637130801686E-2</v>
      </c>
      <c r="HT58" s="145">
        <f t="shared" si="75"/>
        <v>-0.12033195020746888</v>
      </c>
      <c r="HU58" s="145">
        <f t="shared" si="75"/>
        <v>0.10377358490566038</v>
      </c>
      <c r="HV58" s="145">
        <f t="shared" si="75"/>
        <v>3.4188034188034191E-2</v>
      </c>
      <c r="HW58" s="145">
        <f t="shared" si="75"/>
        <v>-4.9586776859504134E-2</v>
      </c>
      <c r="HX58" s="145">
        <f t="shared" si="75"/>
        <v>3.9130434782608699E-2</v>
      </c>
      <c r="HY58" s="145">
        <f t="shared" si="75"/>
        <v>4.1841004184100415E-3</v>
      </c>
      <c r="HZ58" s="145">
        <f t="shared" si="75"/>
        <v>-1.2500000000000001E-2</v>
      </c>
      <c r="IA58" s="145">
        <f t="shared" si="75"/>
        <v>-7.1729957805907171E-2</v>
      </c>
      <c r="IB58" s="145">
        <f t="shared" si="75"/>
        <v>-9.0909090909090912E-2</v>
      </c>
      <c r="IC58" s="145">
        <f t="shared" ref="IC58:JH58" si="76">(AI58-AH58)/AH58</f>
        <v>-0.09</v>
      </c>
      <c r="ID58" s="145">
        <f t="shared" si="76"/>
        <v>-2.7472527472527472E-2</v>
      </c>
      <c r="IE58" s="145">
        <f t="shared" si="76"/>
        <v>-5.0847457627118647E-2</v>
      </c>
      <c r="IF58" s="145">
        <f t="shared" si="76"/>
        <v>-5.9523809523809521E-3</v>
      </c>
      <c r="IG58" s="145">
        <f t="shared" si="76"/>
        <v>-2.3952095808383235E-2</v>
      </c>
      <c r="IH58" s="145">
        <f t="shared" si="76"/>
        <v>3.0674846625766871E-2</v>
      </c>
      <c r="II58" s="145">
        <f t="shared" si="76"/>
        <v>0</v>
      </c>
      <c r="IJ58" s="145">
        <f t="shared" si="76"/>
        <v>-2.3809523809523808E-2</v>
      </c>
      <c r="IK58" s="145">
        <f t="shared" si="76"/>
        <v>1.8292682926829267E-2</v>
      </c>
      <c r="IL58" s="145">
        <f t="shared" si="76"/>
        <v>5.9880239520958087E-3</v>
      </c>
      <c r="IM58" s="145">
        <f t="shared" si="76"/>
        <v>-2.976190476190476E-2</v>
      </c>
      <c r="IN58" s="145">
        <f t="shared" si="76"/>
        <v>-0.12269938650306748</v>
      </c>
      <c r="IO58" s="145">
        <f t="shared" si="76"/>
        <v>-9.7902097902097904E-2</v>
      </c>
      <c r="IP58" s="145">
        <f t="shared" si="76"/>
        <v>-8.5271317829457363E-2</v>
      </c>
      <c r="IQ58" s="145">
        <f t="shared" si="76"/>
        <v>2.5423728813559324E-2</v>
      </c>
      <c r="IR58" s="145">
        <f t="shared" si="76"/>
        <v>2.4793388429752067E-2</v>
      </c>
      <c r="IS58" s="145">
        <f t="shared" si="76"/>
        <v>9.6774193548387094E-2</v>
      </c>
      <c r="IT58" s="145">
        <f t="shared" si="76"/>
        <v>2.9411764705882353E-2</v>
      </c>
      <c r="IU58" s="145">
        <f t="shared" si="76"/>
        <v>-2.8571428571428571E-2</v>
      </c>
      <c r="IV58" s="145">
        <f t="shared" si="76"/>
        <v>2.2058823529411766E-2</v>
      </c>
      <c r="IW58" s="145">
        <f t="shared" si="76"/>
        <v>7.1942446043165464E-2</v>
      </c>
      <c r="IX58" s="145">
        <f t="shared" si="76"/>
        <v>-9.3959731543624164E-2</v>
      </c>
      <c r="IY58" s="145">
        <f t="shared" si="76"/>
        <v>-1.4814814814814815E-2</v>
      </c>
      <c r="IZ58" s="145">
        <f t="shared" si="76"/>
        <v>-0.10526315789473684</v>
      </c>
      <c r="JA58" s="145">
        <f t="shared" si="76"/>
        <v>-1.680672268907563E-2</v>
      </c>
      <c r="JB58" s="145">
        <f t="shared" si="76"/>
        <v>-4.2735042735042736E-2</v>
      </c>
      <c r="JC58" s="145">
        <f t="shared" si="76"/>
        <v>-0.16071428571428573</v>
      </c>
      <c r="JD58" s="145">
        <f t="shared" si="76"/>
        <v>7.4468085106382975E-2</v>
      </c>
      <c r="JE58" s="145">
        <f t="shared" si="76"/>
        <v>0.19801980198019803</v>
      </c>
      <c r="JF58" s="145">
        <f t="shared" si="76"/>
        <v>3.3057851239669422E-2</v>
      </c>
      <c r="JG58" s="145">
        <f t="shared" si="76"/>
        <v>3.2000000000000001E-2</v>
      </c>
      <c r="JH58" s="145">
        <f t="shared" si="76"/>
        <v>2.3255813953488372E-2</v>
      </c>
      <c r="JI58" s="145">
        <f t="shared" ref="JI58:KN58" si="77">(BO58-BN58)/BN58</f>
        <v>0.12121212121212122</v>
      </c>
      <c r="JJ58" s="145">
        <f t="shared" si="77"/>
        <v>4.72972972972973E-2</v>
      </c>
      <c r="JK58" s="145">
        <f t="shared" si="77"/>
        <v>-0.11612903225806452</v>
      </c>
      <c r="JL58" s="145">
        <f t="shared" si="77"/>
        <v>-0.13138686131386862</v>
      </c>
      <c r="JM58" s="145">
        <f t="shared" si="77"/>
        <v>-0.10084033613445378</v>
      </c>
      <c r="JN58" s="145">
        <f t="shared" si="77"/>
        <v>-7.476635514018691E-2</v>
      </c>
      <c r="JO58" s="145">
        <f t="shared" si="77"/>
        <v>0</v>
      </c>
      <c r="JP58" s="145">
        <f t="shared" si="77"/>
        <v>0.12121212121212122</v>
      </c>
      <c r="JQ58" s="145">
        <f t="shared" si="77"/>
        <v>0.25225225225225223</v>
      </c>
      <c r="JR58" s="145">
        <f t="shared" si="77"/>
        <v>2.1582733812949641E-2</v>
      </c>
      <c r="JS58" s="145">
        <f t="shared" si="77"/>
        <v>-6.3380281690140844E-2</v>
      </c>
      <c r="JT58" s="145">
        <f t="shared" si="77"/>
        <v>0.21052631578947367</v>
      </c>
      <c r="JU58" s="145">
        <f t="shared" si="77"/>
        <v>6.2111801242236024E-2</v>
      </c>
      <c r="JV58" s="145">
        <f t="shared" si="77"/>
        <v>1.1695906432748537E-2</v>
      </c>
      <c r="JW58" s="145">
        <f t="shared" si="77"/>
        <v>-2.8901734104046242E-2</v>
      </c>
      <c r="JX58" s="145">
        <f t="shared" si="77"/>
        <v>-0.10714285714285714</v>
      </c>
      <c r="JY58" s="145">
        <f t="shared" si="77"/>
        <v>-0.16666666666666666</v>
      </c>
      <c r="JZ58" s="145">
        <f t="shared" si="77"/>
        <v>-0.04</v>
      </c>
      <c r="KA58" s="145">
        <f t="shared" si="77"/>
        <v>-2.5000000000000001E-2</v>
      </c>
      <c r="KB58" s="145">
        <f t="shared" si="77"/>
        <v>7.6923076923076927E-2</v>
      </c>
      <c r="KC58" s="145">
        <f t="shared" si="77"/>
        <v>0.19047619047619047</v>
      </c>
      <c r="KD58" s="145">
        <f t="shared" si="77"/>
        <v>-6.6666666666666671E-3</v>
      </c>
      <c r="KE58" s="145">
        <f t="shared" si="77"/>
        <v>1.3422818791946308E-2</v>
      </c>
      <c r="KF58" s="145">
        <f t="shared" si="77"/>
        <v>0.18543046357615894</v>
      </c>
      <c r="KG58" s="145">
        <f t="shared" si="77"/>
        <v>7.2625698324022353E-2</v>
      </c>
      <c r="KH58" s="145">
        <f t="shared" si="77"/>
        <v>5.7291666666666664E-2</v>
      </c>
      <c r="KI58" s="145">
        <f t="shared" si="77"/>
        <v>-5.9113300492610835E-2</v>
      </c>
      <c r="KJ58" s="145">
        <f t="shared" si="77"/>
        <v>-5.2356020942408377E-2</v>
      </c>
      <c r="KK58" s="145">
        <f t="shared" si="77"/>
        <v>-0.19337016574585636</v>
      </c>
      <c r="KL58" s="145">
        <f t="shared" si="77"/>
        <v>-8.2191780821917804E-2</v>
      </c>
      <c r="KM58" s="145">
        <f t="shared" si="77"/>
        <v>-6.7164179104477612E-2</v>
      </c>
      <c r="KN58" s="145">
        <f t="shared" si="77"/>
        <v>0.152</v>
      </c>
      <c r="KO58" s="145">
        <f t="shared" ref="KO58:LT58" si="78">(CU58-CT58)/CT58</f>
        <v>0.1736111111111111</v>
      </c>
      <c r="KP58" s="145">
        <f t="shared" si="78"/>
        <v>1.7751479289940829E-2</v>
      </c>
      <c r="KQ58" s="145">
        <f t="shared" si="78"/>
        <v>2.9069767441860465E-2</v>
      </c>
      <c r="KR58" s="145">
        <f t="shared" si="78"/>
        <v>0.16384180790960451</v>
      </c>
      <c r="KS58" s="145">
        <f t="shared" si="78"/>
        <v>0.12135922330097088</v>
      </c>
      <c r="KT58" s="145">
        <f t="shared" si="78"/>
        <v>3.4632034632034632E-2</v>
      </c>
      <c r="KU58" s="145">
        <f t="shared" si="78"/>
        <v>-6.2761506276150625E-2</v>
      </c>
      <c r="KV58" s="145">
        <f t="shared" si="78"/>
        <v>-4.9107142857142856E-2</v>
      </c>
      <c r="KW58" s="145">
        <f t="shared" si="78"/>
        <v>-0.13145539906103287</v>
      </c>
      <c r="KX58" s="145">
        <f t="shared" si="78"/>
        <v>-0.14054054054054055</v>
      </c>
      <c r="KY58" s="145">
        <f t="shared" si="78"/>
        <v>-3.7735849056603772E-2</v>
      </c>
      <c r="KZ58" s="145">
        <f t="shared" si="78"/>
        <v>0.20261437908496732</v>
      </c>
      <c r="LA58" s="145">
        <f t="shared" si="78"/>
        <v>0.10326086956521739</v>
      </c>
      <c r="LB58" s="145">
        <f t="shared" si="78"/>
        <v>2.4630541871921183E-2</v>
      </c>
      <c r="LC58" s="145">
        <f t="shared" si="78"/>
        <v>-2.403846153846154E-2</v>
      </c>
      <c r="LD58" s="145">
        <f t="shared" si="78"/>
        <v>8.8669950738916259E-2</v>
      </c>
      <c r="LE58" s="145">
        <f t="shared" si="78"/>
        <v>4.5248868778280542E-2</v>
      </c>
      <c r="LF58" s="145">
        <f t="shared" si="78"/>
        <v>3.896103896103896E-2</v>
      </c>
      <c r="LG58" s="145">
        <f t="shared" si="78"/>
        <v>1.6666666666666666E-2</v>
      </c>
      <c r="LH58" s="145">
        <f t="shared" si="78"/>
        <v>-0.10245901639344263</v>
      </c>
      <c r="LI58" s="145">
        <f t="shared" si="78"/>
        <v>-0.15525114155251141</v>
      </c>
      <c r="LJ58" s="145">
        <f t="shared" si="78"/>
        <v>-0.12432432432432433</v>
      </c>
      <c r="LK58" s="145">
        <f t="shared" si="78"/>
        <v>4.9382716049382713E-2</v>
      </c>
      <c r="LL58" s="145">
        <f t="shared" si="78"/>
        <v>8.2352941176470587E-2</v>
      </c>
      <c r="LM58" s="145">
        <f t="shared" si="78"/>
        <v>0.17934782608695651</v>
      </c>
      <c r="LN58" s="145">
        <f t="shared" si="78"/>
        <v>-2.3041474654377881E-2</v>
      </c>
      <c r="LO58" s="145">
        <f t="shared" si="78"/>
        <v>-3.7735849056603772E-2</v>
      </c>
      <c r="LP58" s="145">
        <f t="shared" si="78"/>
        <v>0.14705882352941177</v>
      </c>
      <c r="LQ58" s="145">
        <f t="shared" si="78"/>
        <v>-2.1367521367521368E-2</v>
      </c>
      <c r="LR58" s="145">
        <f t="shared" si="78"/>
        <v>7.8602620087336247E-2</v>
      </c>
      <c r="LS58" s="145">
        <f t="shared" si="78"/>
        <v>2.0242914979757085E-2</v>
      </c>
      <c r="LT58" s="145">
        <f t="shared" si="78"/>
        <v>-0.11904761904761904</v>
      </c>
      <c r="LU58" s="145">
        <f t="shared" ref="LU58:MR58" si="79">(EA58-DZ58)/DZ58</f>
        <v>-0.11261261261261261</v>
      </c>
      <c r="LV58" s="145">
        <f t="shared" si="79"/>
        <v>-7.1065989847715741E-2</v>
      </c>
      <c r="LW58" s="145">
        <f t="shared" si="79"/>
        <v>-0.13114754098360656</v>
      </c>
      <c r="LX58" s="145">
        <f t="shared" si="79"/>
        <v>5.6603773584905662E-2</v>
      </c>
      <c r="LY58" s="145">
        <f t="shared" si="79"/>
        <v>0.13095238095238096</v>
      </c>
      <c r="LZ58" s="145">
        <f t="shared" si="79"/>
        <v>4.736842105263158E-2</v>
      </c>
      <c r="MA58" s="145">
        <f t="shared" si="79"/>
        <v>3.015075376884422E-2</v>
      </c>
      <c r="MB58" s="145">
        <f t="shared" si="79"/>
        <v>0.18048780487804877</v>
      </c>
      <c r="MC58" s="145">
        <f t="shared" si="79"/>
        <v>-8.2644628099173556E-3</v>
      </c>
      <c r="MD58" s="145">
        <f t="shared" si="79"/>
        <v>2.0833333333333332E-2</v>
      </c>
      <c r="ME58" s="145">
        <f t="shared" si="79"/>
        <v>-8.9795918367346933E-2</v>
      </c>
      <c r="MF58" s="145">
        <f t="shared" si="79"/>
        <v>-3.5874439461883408E-2</v>
      </c>
      <c r="MG58" s="145">
        <f t="shared" si="79"/>
        <v>-0.12093023255813953</v>
      </c>
      <c r="MH58" s="145">
        <f t="shared" si="79"/>
        <v>-0.17989417989417988</v>
      </c>
      <c r="MI58" s="145">
        <f t="shared" si="79"/>
        <v>-4.5161290322580643E-2</v>
      </c>
      <c r="MJ58" s="145">
        <f t="shared" si="79"/>
        <v>7.4324324324324328E-2</v>
      </c>
      <c r="MK58" s="145">
        <f t="shared" si="79"/>
        <v>7.5471698113207544E-2</v>
      </c>
      <c r="ML58" s="145">
        <f t="shared" si="79"/>
        <v>6.4327485380116955E-2</v>
      </c>
      <c r="MM58" s="145">
        <f t="shared" si="79"/>
        <v>-8.7912087912087919E-2</v>
      </c>
      <c r="MN58" s="145">
        <f t="shared" si="79"/>
        <v>-6.6265060240963861E-2</v>
      </c>
      <c r="MO58" s="145">
        <f t="shared" si="79"/>
        <v>7.0967741935483872E-2</v>
      </c>
      <c r="MP58" s="145">
        <f t="shared" si="79"/>
        <v>-6.6265060240963861E-2</v>
      </c>
      <c r="MQ58" s="145">
        <f t="shared" si="79"/>
        <v>-9.0322580645161285E-2</v>
      </c>
      <c r="MR58" s="145">
        <f t="shared" si="79"/>
        <v>9.9290780141843976E-2</v>
      </c>
      <c r="MS58" s="145">
        <f>(EZ58-EY58)/EY58</f>
        <v>-2.1276595744680851E-2</v>
      </c>
      <c r="MT58" s="145">
        <f t="shared" ref="MT58:NC62" si="80">(EZ58-EY58)/EZ58</f>
        <v>-2.1739130434782608E-2</v>
      </c>
      <c r="MU58" s="145">
        <f t="shared" si="80"/>
        <v>-5.3435114503816793E-2</v>
      </c>
      <c r="MV58" s="145">
        <f t="shared" si="80"/>
        <v>-0.19090909090909092</v>
      </c>
      <c r="MW58" s="145">
        <f t="shared" si="80"/>
        <v>-1.8518518518518517E-2</v>
      </c>
      <c r="MX58" s="145">
        <f t="shared" si="80"/>
        <v>-0.21348314606741572</v>
      </c>
      <c r="MY58" s="145">
        <f t="shared" si="80"/>
        <v>-8.5365853658536592E-2</v>
      </c>
      <c r="MZ58" s="145">
        <f t="shared" si="80"/>
        <v>-0.30158730158730157</v>
      </c>
      <c r="NA58" s="145">
        <f t="shared" si="80"/>
        <v>-0.36956521739130432</v>
      </c>
      <c r="NB58" s="145">
        <f t="shared" si="80"/>
        <v>0</v>
      </c>
      <c r="NC58" s="145">
        <f t="shared" si="80"/>
        <v>0.14814814814814814</v>
      </c>
      <c r="ND58" s="145">
        <f t="shared" ref="ND58:NM62" si="81">(FJ58-FI58)/FJ58</f>
        <v>0.20588235294117646</v>
      </c>
      <c r="NE58" s="145">
        <f t="shared" si="81"/>
        <v>-0.21428571428571427</v>
      </c>
      <c r="NF58" s="145">
        <f t="shared" si="81"/>
        <v>-3.7037037037037035E-2</v>
      </c>
      <c r="NG58" s="145">
        <f t="shared" si="81"/>
        <v>0.1</v>
      </c>
      <c r="NH58" s="145">
        <f t="shared" si="81"/>
        <v>-0.1111111111111111</v>
      </c>
      <c r="NI58" s="145">
        <f t="shared" si="81"/>
        <v>-3.8461538461538464E-2</v>
      </c>
      <c r="NJ58" s="145">
        <f t="shared" si="81"/>
        <v>-0.15555555555555556</v>
      </c>
      <c r="NK58" s="145">
        <f t="shared" si="81"/>
        <v>-0.18421052631578946</v>
      </c>
      <c r="NL58" s="145">
        <f t="shared" si="81"/>
        <v>-0.22580645161290322</v>
      </c>
      <c r="NM58" s="145">
        <f t="shared" si="81"/>
        <v>-0.19230769230769232</v>
      </c>
      <c r="NN58" s="145">
        <f t="shared" ref="NN58:NW62" si="82">(FT58-FS58)/FT58</f>
        <v>0.43478260869565216</v>
      </c>
      <c r="NO58" s="145">
        <f t="shared" si="82"/>
        <v>0.3235294117647059</v>
      </c>
      <c r="NP58" s="145">
        <f t="shared" si="82"/>
        <v>0.26881720430107525</v>
      </c>
      <c r="NQ58" s="145">
        <f t="shared" si="82"/>
        <v>0.3007518796992481</v>
      </c>
      <c r="NR58" s="145">
        <f t="shared" si="82"/>
        <v>-2.3076923076923078E-2</v>
      </c>
      <c r="NS58" s="145">
        <f t="shared" si="82"/>
        <v>2.9850746268656716E-2</v>
      </c>
      <c r="NT58" s="145">
        <f t="shared" si="82"/>
        <v>4.2857142857142858E-2</v>
      </c>
      <c r="NU58" s="145">
        <f t="shared" si="82"/>
        <v>-2.1897810218978103E-2</v>
      </c>
      <c r="NV58" s="145">
        <f t="shared" si="82"/>
        <v>-3.007518796992481E-2</v>
      </c>
      <c r="NW58" s="145">
        <f t="shared" si="82"/>
        <v>-9.0163934426229511E-2</v>
      </c>
      <c r="NX58" s="145">
        <f t="shared" ref="NX58:OL62" si="83">(GD58-GC58)/GD58</f>
        <v>7.575757575757576E-2</v>
      </c>
      <c r="NY58" s="145">
        <f t="shared" si="83"/>
        <v>0</v>
      </c>
      <c r="NZ58" s="145">
        <f t="shared" si="83"/>
        <v>1.4925373134328358E-2</v>
      </c>
      <c r="OA58" s="145">
        <f t="shared" si="83"/>
        <v>-0.17543859649122806</v>
      </c>
      <c r="OB58" s="145">
        <f t="shared" si="83"/>
        <v>-1.7857142857142856E-2</v>
      </c>
      <c r="OC58" s="145">
        <f t="shared" si="83"/>
        <v>-0.13131313131313133</v>
      </c>
      <c r="OD58" s="145">
        <f t="shared" si="83"/>
        <v>0</v>
      </c>
      <c r="OE58" s="145">
        <f t="shared" si="83"/>
        <v>0.1</v>
      </c>
      <c r="OF58" s="145">
        <f t="shared" si="83"/>
        <v>0.17293233082706766</v>
      </c>
      <c r="OG58" s="145">
        <f t="shared" si="83"/>
        <v>0.15822784810126583</v>
      </c>
      <c r="OH58" s="145">
        <f t="shared" si="83"/>
        <v>0</v>
      </c>
      <c r="OI58" s="145">
        <f t="shared" si="83"/>
        <v>-0.1366906474820144</v>
      </c>
      <c r="OJ58" s="145">
        <f t="shared" si="83"/>
        <v>0.16766467065868262</v>
      </c>
      <c r="OK58" s="145">
        <f t="shared" si="83"/>
        <v>1.1834319526627219E-2</v>
      </c>
      <c r="OL58" s="145">
        <f t="shared" si="83"/>
        <v>2.8735632183908046E-2</v>
      </c>
    </row>
    <row r="59" spans="1:402" s="145" customFormat="1" ht="19.5" customHeight="1" x14ac:dyDescent="0.35">
      <c r="A59" s="12" t="s">
        <v>31</v>
      </c>
      <c r="B59" s="156"/>
      <c r="C59" s="156"/>
      <c r="D59" s="156"/>
      <c r="E59" s="156"/>
      <c r="F59" s="156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>
        <v>9</v>
      </c>
      <c r="DK59" s="143">
        <v>11</v>
      </c>
      <c r="DL59" s="143">
        <v>13</v>
      </c>
      <c r="DM59" s="143">
        <v>15</v>
      </c>
      <c r="DN59" s="143">
        <v>10</v>
      </c>
      <c r="DO59" s="143">
        <v>12</v>
      </c>
      <c r="DP59" s="143">
        <v>9</v>
      </c>
      <c r="DQ59" s="143">
        <v>13</v>
      </c>
      <c r="DR59" s="143">
        <v>5</v>
      </c>
      <c r="DS59" s="143">
        <v>11</v>
      </c>
      <c r="DT59" s="143">
        <v>13</v>
      </c>
      <c r="DU59" s="143">
        <v>12</v>
      </c>
      <c r="DV59" s="143">
        <v>11</v>
      </c>
      <c r="DW59" s="143">
        <v>10</v>
      </c>
      <c r="DX59" s="143">
        <v>14</v>
      </c>
      <c r="DY59" s="143">
        <v>12</v>
      </c>
      <c r="DZ59" s="143">
        <v>20</v>
      </c>
      <c r="EA59" s="143">
        <v>9</v>
      </c>
      <c r="EB59" s="143">
        <v>6</v>
      </c>
      <c r="EC59" s="143">
        <v>14</v>
      </c>
      <c r="ED59" s="143">
        <v>7</v>
      </c>
      <c r="EE59" s="143">
        <v>9</v>
      </c>
      <c r="EF59" s="143">
        <v>7</v>
      </c>
      <c r="EG59" s="143">
        <v>7</v>
      </c>
      <c r="EH59" s="143">
        <v>13</v>
      </c>
      <c r="EI59" s="143">
        <v>16</v>
      </c>
      <c r="EJ59" s="143">
        <v>19</v>
      </c>
      <c r="EK59" s="143">
        <v>19</v>
      </c>
      <c r="EL59" s="143">
        <v>20</v>
      </c>
      <c r="EM59" s="143">
        <v>12</v>
      </c>
      <c r="EN59" s="143">
        <v>10</v>
      </c>
      <c r="EO59" s="143">
        <v>11</v>
      </c>
      <c r="EP59" s="143">
        <v>9</v>
      </c>
      <c r="EQ59" s="143">
        <v>15</v>
      </c>
      <c r="ER59" s="143">
        <v>19</v>
      </c>
      <c r="ES59" s="143">
        <v>13</v>
      </c>
      <c r="ET59" s="143">
        <v>27</v>
      </c>
      <c r="EU59" s="143">
        <v>16</v>
      </c>
      <c r="EV59" s="143">
        <v>10</v>
      </c>
      <c r="EW59" s="143">
        <v>10</v>
      </c>
      <c r="EX59" s="143">
        <v>20</v>
      </c>
      <c r="EY59" s="143">
        <v>32</v>
      </c>
      <c r="EZ59" s="143">
        <v>17</v>
      </c>
      <c r="FA59" s="143">
        <v>21</v>
      </c>
      <c r="FB59" s="143">
        <v>30</v>
      </c>
      <c r="FC59" s="143">
        <v>25</v>
      </c>
      <c r="FD59" s="143">
        <v>32</v>
      </c>
      <c r="FE59" s="143">
        <v>22</v>
      </c>
      <c r="FF59" s="143">
        <v>35</v>
      </c>
      <c r="FG59" s="143">
        <v>31</v>
      </c>
      <c r="FH59" s="143">
        <v>36</v>
      </c>
      <c r="FI59" s="143">
        <v>28</v>
      </c>
      <c r="FJ59" s="143">
        <v>33</v>
      </c>
      <c r="FK59" s="143">
        <v>26</v>
      </c>
      <c r="FL59" s="143">
        <v>27</v>
      </c>
      <c r="FM59" s="143">
        <v>20</v>
      </c>
      <c r="FN59" s="143">
        <v>24</v>
      </c>
      <c r="FO59" s="143">
        <v>20</v>
      </c>
      <c r="FP59" s="143">
        <v>27</v>
      </c>
      <c r="FQ59" s="143">
        <v>24</v>
      </c>
      <c r="FR59" s="143">
        <v>28</v>
      </c>
      <c r="FS59" s="143">
        <v>24</v>
      </c>
      <c r="FT59" s="143">
        <v>20</v>
      </c>
      <c r="FU59" s="143">
        <v>36</v>
      </c>
      <c r="FV59" s="143">
        <v>30</v>
      </c>
      <c r="FW59" s="143">
        <v>21</v>
      </c>
      <c r="FX59" s="143">
        <v>16</v>
      </c>
      <c r="FY59" s="143">
        <v>17</v>
      </c>
      <c r="FZ59" s="143">
        <v>18</v>
      </c>
      <c r="GA59" s="143">
        <v>18</v>
      </c>
      <c r="GB59" s="143">
        <v>17</v>
      </c>
      <c r="GC59" s="143">
        <v>13</v>
      </c>
      <c r="GD59" s="143">
        <v>17</v>
      </c>
      <c r="GE59" s="143">
        <v>23</v>
      </c>
      <c r="GF59" s="143">
        <v>23</v>
      </c>
      <c r="GG59" s="143">
        <v>36</v>
      </c>
      <c r="GH59" s="143">
        <v>21</v>
      </c>
      <c r="GI59" s="143">
        <v>17</v>
      </c>
      <c r="GJ59" s="143">
        <v>16</v>
      </c>
      <c r="GK59" s="143">
        <v>13</v>
      </c>
      <c r="GL59" s="143">
        <v>9</v>
      </c>
      <c r="GM59" s="143">
        <v>17</v>
      </c>
      <c r="GN59" s="143">
        <v>20</v>
      </c>
      <c r="GO59" s="143">
        <v>15</v>
      </c>
      <c r="GP59" s="143">
        <v>28</v>
      </c>
      <c r="GQ59" s="143">
        <v>39</v>
      </c>
      <c r="GR59" s="143">
        <v>32</v>
      </c>
      <c r="GS59" s="143">
        <f>SUM(B59:GR59)/86</f>
        <v>18.744186046511629</v>
      </c>
      <c r="GT59" s="152"/>
      <c r="GU59" s="12" t="s">
        <v>31</v>
      </c>
      <c r="LE59" s="145">
        <f t="shared" ref="LE59:LN62" si="84">(DK59-DJ59)/DJ59</f>
        <v>0.22222222222222221</v>
      </c>
      <c r="LF59" s="145">
        <f t="shared" si="84"/>
        <v>0.18181818181818182</v>
      </c>
      <c r="LG59" s="145">
        <f t="shared" si="84"/>
        <v>0.15384615384615385</v>
      </c>
      <c r="LH59" s="145">
        <f t="shared" si="84"/>
        <v>-0.33333333333333331</v>
      </c>
      <c r="LI59" s="145">
        <f t="shared" si="84"/>
        <v>0.2</v>
      </c>
      <c r="LJ59" s="145">
        <f t="shared" si="84"/>
        <v>-0.25</v>
      </c>
      <c r="LK59" s="145">
        <f t="shared" si="84"/>
        <v>0.44444444444444442</v>
      </c>
      <c r="LL59" s="145">
        <f t="shared" si="84"/>
        <v>-0.61538461538461542</v>
      </c>
      <c r="LM59" s="145">
        <f t="shared" si="84"/>
        <v>1.2</v>
      </c>
      <c r="LN59" s="145">
        <f t="shared" si="84"/>
        <v>0.18181818181818182</v>
      </c>
      <c r="LO59" s="145">
        <f t="shared" ref="LO59:LX62" si="85">(DU59-DT59)/DT59</f>
        <v>-7.6923076923076927E-2</v>
      </c>
      <c r="LP59" s="145">
        <f t="shared" si="85"/>
        <v>-8.3333333333333329E-2</v>
      </c>
      <c r="LQ59" s="145">
        <f t="shared" si="85"/>
        <v>-9.0909090909090912E-2</v>
      </c>
      <c r="LR59" s="145">
        <f t="shared" si="85"/>
        <v>0.4</v>
      </c>
      <c r="LS59" s="145">
        <f t="shared" si="85"/>
        <v>-0.14285714285714285</v>
      </c>
      <c r="LT59" s="145">
        <f t="shared" si="85"/>
        <v>0.66666666666666663</v>
      </c>
      <c r="LU59" s="145">
        <f t="shared" si="85"/>
        <v>-0.55000000000000004</v>
      </c>
      <c r="LV59" s="145">
        <f t="shared" si="85"/>
        <v>-0.33333333333333331</v>
      </c>
      <c r="LW59" s="145">
        <f t="shared" si="85"/>
        <v>1.3333333333333333</v>
      </c>
      <c r="LX59" s="145">
        <f t="shared" si="85"/>
        <v>-0.5</v>
      </c>
      <c r="LY59" s="145">
        <f t="shared" ref="LY59:MH62" si="86">(EE59-ED59)/ED59</f>
        <v>0.2857142857142857</v>
      </c>
      <c r="LZ59" s="145">
        <f t="shared" si="86"/>
        <v>-0.22222222222222221</v>
      </c>
      <c r="MA59" s="145">
        <f t="shared" si="86"/>
        <v>0</v>
      </c>
      <c r="MB59" s="145">
        <f t="shared" si="86"/>
        <v>0.8571428571428571</v>
      </c>
      <c r="MC59" s="145">
        <f t="shared" si="86"/>
        <v>0.23076923076923078</v>
      </c>
      <c r="MD59" s="145">
        <f t="shared" si="86"/>
        <v>0.1875</v>
      </c>
      <c r="ME59" s="145">
        <f t="shared" si="86"/>
        <v>0</v>
      </c>
      <c r="MF59" s="145">
        <f t="shared" si="86"/>
        <v>5.2631578947368418E-2</v>
      </c>
      <c r="MG59" s="145">
        <f t="shared" si="86"/>
        <v>-0.4</v>
      </c>
      <c r="MH59" s="145">
        <f t="shared" si="86"/>
        <v>-0.16666666666666666</v>
      </c>
      <c r="MI59" s="145">
        <f t="shared" ref="MI59:MR62" si="87">(EO59-EN59)/EN59</f>
        <v>0.1</v>
      </c>
      <c r="MJ59" s="145">
        <f t="shared" si="87"/>
        <v>-0.18181818181818182</v>
      </c>
      <c r="MK59" s="145">
        <f t="shared" si="87"/>
        <v>0.66666666666666663</v>
      </c>
      <c r="ML59" s="145">
        <f t="shared" si="87"/>
        <v>0.26666666666666666</v>
      </c>
      <c r="MM59" s="145">
        <f t="shared" si="87"/>
        <v>-0.31578947368421051</v>
      </c>
      <c r="MN59" s="145">
        <f t="shared" si="87"/>
        <v>1.0769230769230769</v>
      </c>
      <c r="MO59" s="145">
        <f t="shared" si="87"/>
        <v>-0.40740740740740738</v>
      </c>
      <c r="MP59" s="145">
        <f t="shared" si="87"/>
        <v>-0.375</v>
      </c>
      <c r="MQ59" s="145">
        <f t="shared" si="87"/>
        <v>0</v>
      </c>
      <c r="MR59" s="145">
        <f t="shared" si="87"/>
        <v>1</v>
      </c>
      <c r="MS59" s="145">
        <f>(EZ59-EY59)/EY59</f>
        <v>-0.46875</v>
      </c>
      <c r="MT59" s="145">
        <f t="shared" si="80"/>
        <v>-0.88235294117647056</v>
      </c>
      <c r="MU59" s="145">
        <f t="shared" si="80"/>
        <v>0.19047619047619047</v>
      </c>
      <c r="MV59" s="145">
        <f t="shared" si="80"/>
        <v>0.3</v>
      </c>
      <c r="MW59" s="145">
        <f t="shared" si="80"/>
        <v>-0.2</v>
      </c>
      <c r="MX59" s="145">
        <f t="shared" si="80"/>
        <v>0.21875</v>
      </c>
      <c r="MY59" s="145">
        <f t="shared" si="80"/>
        <v>-0.45454545454545453</v>
      </c>
      <c r="MZ59" s="145">
        <f t="shared" si="80"/>
        <v>0.37142857142857144</v>
      </c>
      <c r="NA59" s="145">
        <f t="shared" si="80"/>
        <v>-0.12903225806451613</v>
      </c>
      <c r="NB59" s="145">
        <f t="shared" si="80"/>
        <v>0.1388888888888889</v>
      </c>
      <c r="NC59" s="145">
        <f t="shared" si="80"/>
        <v>-0.2857142857142857</v>
      </c>
      <c r="ND59" s="145">
        <f t="shared" si="81"/>
        <v>0.15151515151515152</v>
      </c>
      <c r="NE59" s="145">
        <f t="shared" si="81"/>
        <v>-0.26923076923076922</v>
      </c>
      <c r="NF59" s="145">
        <f t="shared" si="81"/>
        <v>3.7037037037037035E-2</v>
      </c>
      <c r="NG59" s="145">
        <f t="shared" si="81"/>
        <v>-0.35</v>
      </c>
      <c r="NH59" s="145">
        <f t="shared" si="81"/>
        <v>0.16666666666666666</v>
      </c>
      <c r="NI59" s="145">
        <f t="shared" si="81"/>
        <v>-0.2</v>
      </c>
      <c r="NJ59" s="145">
        <f t="shared" si="81"/>
        <v>0.25925925925925924</v>
      </c>
      <c r="NK59" s="145">
        <f t="shared" si="81"/>
        <v>-0.125</v>
      </c>
      <c r="NL59" s="145">
        <f t="shared" si="81"/>
        <v>0.14285714285714285</v>
      </c>
      <c r="NM59" s="145">
        <f t="shared" si="81"/>
        <v>-0.16666666666666666</v>
      </c>
      <c r="NN59" s="145">
        <f t="shared" si="82"/>
        <v>-0.2</v>
      </c>
      <c r="NO59" s="145">
        <f t="shared" si="82"/>
        <v>0.44444444444444442</v>
      </c>
      <c r="NP59" s="145">
        <f t="shared" si="82"/>
        <v>-0.2</v>
      </c>
      <c r="NQ59" s="145">
        <f t="shared" si="82"/>
        <v>-0.42857142857142855</v>
      </c>
      <c r="NR59" s="145">
        <f t="shared" si="82"/>
        <v>-0.3125</v>
      </c>
      <c r="NS59" s="145">
        <f t="shared" si="82"/>
        <v>5.8823529411764705E-2</v>
      </c>
      <c r="NT59" s="145">
        <f t="shared" si="82"/>
        <v>5.5555555555555552E-2</v>
      </c>
      <c r="NU59" s="145">
        <f t="shared" si="82"/>
        <v>0</v>
      </c>
      <c r="NV59" s="145">
        <f t="shared" si="82"/>
        <v>-5.8823529411764705E-2</v>
      </c>
      <c r="NW59" s="145">
        <f t="shared" si="82"/>
        <v>-0.30769230769230771</v>
      </c>
      <c r="NX59" s="145">
        <f t="shared" si="83"/>
        <v>0.23529411764705882</v>
      </c>
      <c r="NY59" s="145">
        <f t="shared" si="83"/>
        <v>0.2608695652173913</v>
      </c>
      <c r="NZ59" s="145">
        <f t="shared" si="83"/>
        <v>0</v>
      </c>
      <c r="OA59" s="145">
        <f t="shared" si="83"/>
        <v>0.3611111111111111</v>
      </c>
      <c r="OB59" s="145">
        <f t="shared" si="83"/>
        <v>-0.7142857142857143</v>
      </c>
      <c r="OC59" s="145">
        <f t="shared" si="83"/>
        <v>-0.23529411764705882</v>
      </c>
      <c r="OD59" s="145">
        <f t="shared" si="83"/>
        <v>-6.25E-2</v>
      </c>
      <c r="OE59" s="145">
        <f t="shared" si="83"/>
        <v>-0.23076923076923078</v>
      </c>
      <c r="OF59" s="145">
        <f t="shared" si="83"/>
        <v>-0.44444444444444442</v>
      </c>
      <c r="OG59" s="145">
        <f t="shared" si="83"/>
        <v>0.47058823529411764</v>
      </c>
      <c r="OH59" s="145">
        <f t="shared" si="83"/>
        <v>0.15</v>
      </c>
      <c r="OI59" s="145">
        <f t="shared" si="83"/>
        <v>-0.33333333333333331</v>
      </c>
      <c r="OJ59" s="145">
        <f t="shared" si="83"/>
        <v>0.4642857142857143</v>
      </c>
      <c r="OK59" s="145">
        <f t="shared" si="83"/>
        <v>0.28205128205128205</v>
      </c>
      <c r="OL59" s="145">
        <f t="shared" si="83"/>
        <v>-0.21875</v>
      </c>
    </row>
    <row r="60" spans="1:402" s="145" customFormat="1" ht="19.5" customHeight="1" x14ac:dyDescent="0.35">
      <c r="A60" s="12" t="s">
        <v>32</v>
      </c>
      <c r="B60" s="156">
        <v>11</v>
      </c>
      <c r="C60" s="156">
        <v>7</v>
      </c>
      <c r="D60" s="156">
        <v>6</v>
      </c>
      <c r="E60" s="156">
        <v>8</v>
      </c>
      <c r="F60" s="156">
        <f>'[1]Jan 08'!C23</f>
        <v>15</v>
      </c>
      <c r="G60" s="143">
        <f>'[1]Feb 08'!C23</f>
        <v>13</v>
      </c>
      <c r="H60" s="143">
        <f>'[1]Mar 08'!C23</f>
        <v>8</v>
      </c>
      <c r="I60" s="143">
        <v>12</v>
      </c>
      <c r="J60" s="143">
        <f>'[1]May 08'!C23</f>
        <v>14</v>
      </c>
      <c r="K60" s="143">
        <f>'[1]Jun 08'!C23</f>
        <v>16</v>
      </c>
      <c r="L60" s="143">
        <f>'[1]Jul 08'!C23</f>
        <v>10</v>
      </c>
      <c r="M60" s="143">
        <f>'[1]Aug 08'!C23</f>
        <v>8</v>
      </c>
      <c r="N60" s="143">
        <v>9</v>
      </c>
      <c r="O60" s="143">
        <v>6</v>
      </c>
      <c r="P60" s="143">
        <v>8</v>
      </c>
      <c r="Q60" s="143">
        <v>7</v>
      </c>
      <c r="R60" s="143">
        <v>7</v>
      </c>
      <c r="S60" s="143">
        <v>8</v>
      </c>
      <c r="T60" s="143">
        <v>8</v>
      </c>
      <c r="U60" s="143">
        <v>16</v>
      </c>
      <c r="V60" s="143">
        <v>16</v>
      </c>
      <c r="W60" s="143">
        <v>15</v>
      </c>
      <c r="X60" s="143">
        <v>11</v>
      </c>
      <c r="Y60" s="143">
        <v>17</v>
      </c>
      <c r="Z60" s="143">
        <v>23</v>
      </c>
      <c r="AA60" s="143">
        <v>14</v>
      </c>
      <c r="AB60" s="143">
        <v>18</v>
      </c>
      <c r="AC60" s="143">
        <v>20</v>
      </c>
      <c r="AD60" s="143">
        <v>19</v>
      </c>
      <c r="AE60" s="143">
        <v>19</v>
      </c>
      <c r="AF60" s="143">
        <v>17</v>
      </c>
      <c r="AG60" s="143">
        <v>17</v>
      </c>
      <c r="AH60" s="143">
        <v>22</v>
      </c>
      <c r="AI60" s="143">
        <v>18</v>
      </c>
      <c r="AJ60" s="143">
        <v>13</v>
      </c>
      <c r="AK60" s="143">
        <v>12</v>
      </c>
      <c r="AL60" s="143">
        <v>10</v>
      </c>
      <c r="AM60" s="143">
        <v>8</v>
      </c>
      <c r="AN60" s="143">
        <v>12</v>
      </c>
      <c r="AO60" s="143">
        <v>9</v>
      </c>
      <c r="AP60" s="143">
        <v>9</v>
      </c>
      <c r="AQ60" s="143">
        <v>17</v>
      </c>
      <c r="AR60" s="143">
        <v>13</v>
      </c>
      <c r="AS60" s="143">
        <v>17</v>
      </c>
      <c r="AT60" s="143">
        <v>15</v>
      </c>
      <c r="AU60" s="143">
        <v>16</v>
      </c>
      <c r="AV60" s="143">
        <v>17</v>
      </c>
      <c r="AW60" s="143">
        <v>8</v>
      </c>
      <c r="AX60" s="143">
        <v>13</v>
      </c>
      <c r="AY60" s="143">
        <v>6</v>
      </c>
      <c r="AZ60" s="143">
        <v>9</v>
      </c>
      <c r="BA60" s="143">
        <v>13</v>
      </c>
      <c r="BB60" s="143">
        <v>10</v>
      </c>
      <c r="BC60" s="143">
        <v>9</v>
      </c>
      <c r="BD60" s="143">
        <v>14</v>
      </c>
      <c r="BE60" s="143">
        <v>15</v>
      </c>
      <c r="BF60" s="143">
        <v>11</v>
      </c>
      <c r="BG60" s="143">
        <v>14</v>
      </c>
      <c r="BH60" s="143">
        <v>11</v>
      </c>
      <c r="BI60" s="143">
        <v>10</v>
      </c>
      <c r="BJ60" s="143">
        <v>12</v>
      </c>
      <c r="BK60" s="143">
        <v>13</v>
      </c>
      <c r="BL60" s="143">
        <v>12</v>
      </c>
      <c r="BM60" s="143">
        <v>9</v>
      </c>
      <c r="BN60" s="143">
        <v>12</v>
      </c>
      <c r="BO60" s="143">
        <v>15</v>
      </c>
      <c r="BP60" s="143">
        <v>16</v>
      </c>
      <c r="BQ60" s="143">
        <v>26</v>
      </c>
      <c r="BR60" s="143">
        <v>28</v>
      </c>
      <c r="BS60" s="143">
        <v>19</v>
      </c>
      <c r="BT60" s="143">
        <v>19</v>
      </c>
      <c r="BU60" s="143">
        <v>17</v>
      </c>
      <c r="BV60" s="143">
        <v>20</v>
      </c>
      <c r="BW60" s="143">
        <v>21</v>
      </c>
      <c r="BX60" s="143">
        <v>20</v>
      </c>
      <c r="BY60" s="143">
        <v>21</v>
      </c>
      <c r="BZ60" s="143">
        <v>22</v>
      </c>
      <c r="CA60" s="143">
        <v>21</v>
      </c>
      <c r="CB60" s="143">
        <v>23</v>
      </c>
      <c r="CC60" s="143">
        <v>21</v>
      </c>
      <c r="CD60" s="143">
        <v>21</v>
      </c>
      <c r="CE60" s="143">
        <v>16</v>
      </c>
      <c r="CF60" s="143">
        <v>16</v>
      </c>
      <c r="CG60" s="143">
        <v>12</v>
      </c>
      <c r="CH60" s="143">
        <v>8</v>
      </c>
      <c r="CI60" s="143">
        <v>8</v>
      </c>
      <c r="CJ60" s="143">
        <v>17</v>
      </c>
      <c r="CK60" s="143">
        <v>9</v>
      </c>
      <c r="CL60" s="143">
        <v>12</v>
      </c>
      <c r="CM60" s="143">
        <v>11</v>
      </c>
      <c r="CN60" s="143">
        <v>15</v>
      </c>
      <c r="CO60" s="143">
        <v>19</v>
      </c>
      <c r="CP60" s="143">
        <v>16</v>
      </c>
      <c r="CQ60" s="143">
        <v>16</v>
      </c>
      <c r="CR60" s="143">
        <v>14</v>
      </c>
      <c r="CS60" s="143">
        <v>10</v>
      </c>
      <c r="CT60" s="143">
        <v>12</v>
      </c>
      <c r="CU60" s="143">
        <v>13</v>
      </c>
      <c r="CV60" s="143">
        <v>15</v>
      </c>
      <c r="CW60" s="143">
        <v>9</v>
      </c>
      <c r="CX60" s="143">
        <v>5</v>
      </c>
      <c r="CY60" s="143">
        <v>10</v>
      </c>
      <c r="CZ60" s="143">
        <v>15</v>
      </c>
      <c r="DA60" s="143">
        <v>18</v>
      </c>
      <c r="DB60" s="143">
        <v>18</v>
      </c>
      <c r="DC60" s="143">
        <v>8</v>
      </c>
      <c r="DD60" s="143">
        <v>8</v>
      </c>
      <c r="DE60" s="143">
        <v>10</v>
      </c>
      <c r="DF60" s="143">
        <v>9</v>
      </c>
      <c r="DG60" s="143">
        <v>9</v>
      </c>
      <c r="DH60" s="143">
        <v>12</v>
      </c>
      <c r="DI60" s="143">
        <v>9</v>
      </c>
      <c r="DJ60" s="143">
        <v>6</v>
      </c>
      <c r="DK60" s="143">
        <v>11</v>
      </c>
      <c r="DL60" s="143">
        <v>12</v>
      </c>
      <c r="DM60" s="143">
        <v>17</v>
      </c>
      <c r="DN60" s="143">
        <v>24</v>
      </c>
      <c r="DO60" s="143">
        <v>11</v>
      </c>
      <c r="DP60" s="143">
        <v>7</v>
      </c>
      <c r="DQ60" s="143">
        <v>4</v>
      </c>
      <c r="DR60" s="143">
        <v>2</v>
      </c>
      <c r="DS60" s="143">
        <v>9</v>
      </c>
      <c r="DT60" s="143">
        <v>15</v>
      </c>
      <c r="DU60" s="143">
        <v>9</v>
      </c>
      <c r="DV60" s="143">
        <v>14</v>
      </c>
      <c r="DW60" s="143">
        <v>12</v>
      </c>
      <c r="DX60" s="143">
        <v>15</v>
      </c>
      <c r="DY60" s="143">
        <v>12</v>
      </c>
      <c r="DZ60" s="143">
        <v>16</v>
      </c>
      <c r="EA60" s="143">
        <v>13</v>
      </c>
      <c r="EB60" s="143">
        <v>12</v>
      </c>
      <c r="EC60" s="143">
        <v>18</v>
      </c>
      <c r="ED60" s="143">
        <v>17</v>
      </c>
      <c r="EE60" s="143">
        <v>12</v>
      </c>
      <c r="EF60" s="143">
        <v>10</v>
      </c>
      <c r="EG60" s="143">
        <v>7</v>
      </c>
      <c r="EH60" s="143">
        <v>13</v>
      </c>
      <c r="EI60" s="143">
        <v>15</v>
      </c>
      <c r="EJ60" s="143">
        <v>16</v>
      </c>
      <c r="EK60" s="143">
        <v>22</v>
      </c>
      <c r="EL60" s="143">
        <v>20</v>
      </c>
      <c r="EM60" s="143">
        <v>14</v>
      </c>
      <c r="EN60" s="143">
        <v>6</v>
      </c>
      <c r="EO60" s="143">
        <v>11</v>
      </c>
      <c r="EP60" s="143">
        <v>12</v>
      </c>
      <c r="EQ60" s="143">
        <v>15</v>
      </c>
      <c r="ER60" s="143">
        <v>14</v>
      </c>
      <c r="ES60" s="143">
        <v>17</v>
      </c>
      <c r="ET60" s="143">
        <v>22</v>
      </c>
      <c r="EU60" s="143">
        <v>31</v>
      </c>
      <c r="EV60" s="143">
        <v>22</v>
      </c>
      <c r="EW60" s="143">
        <v>15</v>
      </c>
      <c r="EX60" s="143">
        <v>14</v>
      </c>
      <c r="EY60" s="143">
        <v>20</v>
      </c>
      <c r="EZ60" s="143">
        <v>26</v>
      </c>
      <c r="FA60" s="143">
        <v>23</v>
      </c>
      <c r="FB60" s="143">
        <v>24</v>
      </c>
      <c r="FC60" s="143">
        <v>21</v>
      </c>
      <c r="FD60" s="143">
        <v>30</v>
      </c>
      <c r="FE60" s="143">
        <v>30</v>
      </c>
      <c r="FF60" s="143">
        <v>37</v>
      </c>
      <c r="FG60" s="143">
        <v>45</v>
      </c>
      <c r="FH60" s="143">
        <v>38</v>
      </c>
      <c r="FI60" s="143">
        <v>40</v>
      </c>
      <c r="FJ60" s="143">
        <v>41</v>
      </c>
      <c r="FK60" s="143">
        <v>35</v>
      </c>
      <c r="FL60" s="143">
        <v>32</v>
      </c>
      <c r="FM60" s="143">
        <v>24</v>
      </c>
      <c r="FN60" s="143">
        <v>29</v>
      </c>
      <c r="FO60" s="143">
        <v>25</v>
      </c>
      <c r="FP60" s="143">
        <v>32</v>
      </c>
      <c r="FQ60" s="143">
        <v>25</v>
      </c>
      <c r="FR60" s="143">
        <v>37</v>
      </c>
      <c r="FS60" s="143">
        <v>40</v>
      </c>
      <c r="FT60" s="143">
        <v>45</v>
      </c>
      <c r="FU60" s="143">
        <v>38</v>
      </c>
      <c r="FV60" s="143">
        <v>41</v>
      </c>
      <c r="FW60" s="143">
        <v>27</v>
      </c>
      <c r="FX60" s="143">
        <v>34</v>
      </c>
      <c r="FY60" s="143">
        <v>30</v>
      </c>
      <c r="FZ60" s="143">
        <v>28</v>
      </c>
      <c r="GA60" s="143">
        <v>33</v>
      </c>
      <c r="GB60" s="143">
        <v>21</v>
      </c>
      <c r="GC60" s="143">
        <v>18</v>
      </c>
      <c r="GD60" s="143">
        <v>26</v>
      </c>
      <c r="GE60" s="143">
        <v>30</v>
      </c>
      <c r="GF60" s="143">
        <v>37</v>
      </c>
      <c r="GG60" s="143">
        <v>41</v>
      </c>
      <c r="GH60" s="143">
        <v>39</v>
      </c>
      <c r="GI60" s="143">
        <v>34</v>
      </c>
      <c r="GJ60" s="143">
        <v>41</v>
      </c>
      <c r="GK60" s="143">
        <v>30</v>
      </c>
      <c r="GL60" s="143">
        <v>25</v>
      </c>
      <c r="GM60" s="143">
        <v>22</v>
      </c>
      <c r="GN60" s="143">
        <v>25</v>
      </c>
      <c r="GO60" s="143">
        <v>13</v>
      </c>
      <c r="GP60" s="143">
        <v>22</v>
      </c>
      <c r="GQ60" s="143">
        <v>21</v>
      </c>
      <c r="GR60" s="143">
        <v>26</v>
      </c>
      <c r="GS60" s="143">
        <f>SUM(B60:GR60)/198</f>
        <v>17.606060606060606</v>
      </c>
      <c r="GT60" s="152"/>
      <c r="GU60" s="12" t="s">
        <v>32</v>
      </c>
      <c r="GV60" s="145" t="s">
        <v>30</v>
      </c>
      <c r="GW60" s="145">
        <f t="shared" ref="GW60:HF62" si="88">(C60-B60)/B60</f>
        <v>-0.36363636363636365</v>
      </c>
      <c r="GX60" s="145">
        <f t="shared" si="88"/>
        <v>-0.14285714285714285</v>
      </c>
      <c r="GY60" s="145">
        <f t="shared" si="88"/>
        <v>0.33333333333333331</v>
      </c>
      <c r="GZ60" s="145">
        <f t="shared" si="88"/>
        <v>0.875</v>
      </c>
      <c r="HA60" s="145">
        <f t="shared" si="88"/>
        <v>-0.13333333333333333</v>
      </c>
      <c r="HB60" s="145">
        <f t="shared" si="88"/>
        <v>-0.38461538461538464</v>
      </c>
      <c r="HC60" s="145">
        <f t="shared" si="88"/>
        <v>0.5</v>
      </c>
      <c r="HD60" s="145">
        <f t="shared" si="88"/>
        <v>0.16666666666666666</v>
      </c>
      <c r="HE60" s="145">
        <f t="shared" si="88"/>
        <v>0.14285714285714285</v>
      </c>
      <c r="HF60" s="145">
        <f t="shared" si="88"/>
        <v>-0.375</v>
      </c>
      <c r="HG60" s="145">
        <f t="shared" ref="HG60:HP62" si="89">(M60-L60)/L60</f>
        <v>-0.2</v>
      </c>
      <c r="HH60" s="145">
        <f t="shared" si="89"/>
        <v>0.125</v>
      </c>
      <c r="HI60" s="145">
        <f t="shared" si="89"/>
        <v>-0.33333333333333331</v>
      </c>
      <c r="HJ60" s="145">
        <f t="shared" si="89"/>
        <v>0.33333333333333331</v>
      </c>
      <c r="HK60" s="145">
        <f t="shared" si="89"/>
        <v>-0.125</v>
      </c>
      <c r="HL60" s="145">
        <f t="shared" si="89"/>
        <v>0</v>
      </c>
      <c r="HM60" s="145">
        <f t="shared" si="89"/>
        <v>0.14285714285714285</v>
      </c>
      <c r="HN60" s="145">
        <f t="shared" si="89"/>
        <v>0</v>
      </c>
      <c r="HO60" s="145">
        <f t="shared" si="89"/>
        <v>1</v>
      </c>
      <c r="HP60" s="145">
        <f t="shared" si="89"/>
        <v>0</v>
      </c>
      <c r="HQ60" s="145">
        <f t="shared" ref="HQ60:HZ62" si="90">(W60-V60)/V60</f>
        <v>-6.25E-2</v>
      </c>
      <c r="HR60" s="145">
        <f t="shared" si="90"/>
        <v>-0.26666666666666666</v>
      </c>
      <c r="HS60" s="145">
        <f t="shared" si="90"/>
        <v>0.54545454545454541</v>
      </c>
      <c r="HT60" s="145">
        <f t="shared" si="90"/>
        <v>0.35294117647058826</v>
      </c>
      <c r="HU60" s="145">
        <f t="shared" si="90"/>
        <v>-0.39130434782608697</v>
      </c>
      <c r="HV60" s="145">
        <f t="shared" si="90"/>
        <v>0.2857142857142857</v>
      </c>
      <c r="HW60" s="145">
        <f t="shared" si="90"/>
        <v>0.1111111111111111</v>
      </c>
      <c r="HX60" s="145">
        <f t="shared" si="90"/>
        <v>-0.05</v>
      </c>
      <c r="HY60" s="145">
        <f t="shared" si="90"/>
        <v>0</v>
      </c>
      <c r="HZ60" s="145">
        <f t="shared" si="90"/>
        <v>-0.10526315789473684</v>
      </c>
      <c r="IA60" s="145">
        <f t="shared" ref="IA60:IJ62" si="91">(AG60-AF60)/AF60</f>
        <v>0</v>
      </c>
      <c r="IB60" s="145">
        <f t="shared" si="91"/>
        <v>0.29411764705882354</v>
      </c>
      <c r="IC60" s="145">
        <f t="shared" si="91"/>
        <v>-0.18181818181818182</v>
      </c>
      <c r="ID60" s="145">
        <f t="shared" si="91"/>
        <v>-0.27777777777777779</v>
      </c>
      <c r="IE60" s="145">
        <f t="shared" si="91"/>
        <v>-7.6923076923076927E-2</v>
      </c>
      <c r="IF60" s="145">
        <f t="shared" si="91"/>
        <v>-0.16666666666666666</v>
      </c>
      <c r="IG60" s="145">
        <f t="shared" si="91"/>
        <v>-0.2</v>
      </c>
      <c r="IH60" s="145">
        <f t="shared" si="91"/>
        <v>0.5</v>
      </c>
      <c r="II60" s="145">
        <f t="shared" si="91"/>
        <v>-0.25</v>
      </c>
      <c r="IJ60" s="145">
        <f t="shared" si="91"/>
        <v>0</v>
      </c>
      <c r="IK60" s="145">
        <f t="shared" ref="IK60:IT62" si="92">(AQ60-AP60)/AP60</f>
        <v>0.88888888888888884</v>
      </c>
      <c r="IL60" s="145">
        <f t="shared" si="92"/>
        <v>-0.23529411764705882</v>
      </c>
      <c r="IM60" s="145">
        <f t="shared" si="92"/>
        <v>0.30769230769230771</v>
      </c>
      <c r="IN60" s="145">
        <f t="shared" si="92"/>
        <v>-0.11764705882352941</v>
      </c>
      <c r="IO60" s="145">
        <f t="shared" si="92"/>
        <v>6.6666666666666666E-2</v>
      </c>
      <c r="IP60" s="145">
        <f t="shared" si="92"/>
        <v>6.25E-2</v>
      </c>
      <c r="IQ60" s="145">
        <f t="shared" si="92"/>
        <v>-0.52941176470588236</v>
      </c>
      <c r="IR60" s="145">
        <f t="shared" si="92"/>
        <v>0.625</v>
      </c>
      <c r="IS60" s="145">
        <f t="shared" si="92"/>
        <v>-0.53846153846153844</v>
      </c>
      <c r="IT60" s="145">
        <f t="shared" si="92"/>
        <v>0.5</v>
      </c>
      <c r="IU60" s="145">
        <f t="shared" ref="IU60:JD62" si="93">(BA60-AZ60)/AZ60</f>
        <v>0.44444444444444442</v>
      </c>
      <c r="IV60" s="145">
        <f t="shared" si="93"/>
        <v>-0.23076923076923078</v>
      </c>
      <c r="IW60" s="145">
        <f t="shared" si="93"/>
        <v>-0.1</v>
      </c>
      <c r="IX60" s="145">
        <f t="shared" si="93"/>
        <v>0.55555555555555558</v>
      </c>
      <c r="IY60" s="145">
        <f t="shared" si="93"/>
        <v>7.1428571428571425E-2</v>
      </c>
      <c r="IZ60" s="145">
        <f t="shared" si="93"/>
        <v>-0.26666666666666666</v>
      </c>
      <c r="JA60" s="145">
        <f t="shared" si="93"/>
        <v>0.27272727272727271</v>
      </c>
      <c r="JB60" s="145">
        <f t="shared" si="93"/>
        <v>-0.21428571428571427</v>
      </c>
      <c r="JC60" s="145">
        <f t="shared" si="93"/>
        <v>-9.0909090909090912E-2</v>
      </c>
      <c r="JD60" s="145">
        <f t="shared" si="93"/>
        <v>0.2</v>
      </c>
      <c r="JE60" s="145">
        <f t="shared" ref="JE60:JN62" si="94">(BK60-BJ60)/BJ60</f>
        <v>8.3333333333333329E-2</v>
      </c>
      <c r="JF60" s="145">
        <f t="shared" si="94"/>
        <v>-7.6923076923076927E-2</v>
      </c>
      <c r="JG60" s="145">
        <f t="shared" si="94"/>
        <v>-0.25</v>
      </c>
      <c r="JH60" s="145">
        <f t="shared" si="94"/>
        <v>0.33333333333333331</v>
      </c>
      <c r="JI60" s="145">
        <f t="shared" si="94"/>
        <v>0.25</v>
      </c>
      <c r="JJ60" s="145">
        <f t="shared" si="94"/>
        <v>6.6666666666666666E-2</v>
      </c>
      <c r="JK60" s="145">
        <f t="shared" si="94"/>
        <v>0.625</v>
      </c>
      <c r="JL60" s="145">
        <f t="shared" si="94"/>
        <v>7.6923076923076927E-2</v>
      </c>
      <c r="JM60" s="145">
        <f t="shared" si="94"/>
        <v>-0.32142857142857145</v>
      </c>
      <c r="JN60" s="145">
        <f t="shared" si="94"/>
        <v>0</v>
      </c>
      <c r="JO60" s="145">
        <f t="shared" ref="JO60:JX62" si="95">(BU60-BT60)/BT60</f>
        <v>-0.10526315789473684</v>
      </c>
      <c r="JP60" s="145">
        <f t="shared" si="95"/>
        <v>0.17647058823529413</v>
      </c>
      <c r="JQ60" s="145">
        <f t="shared" si="95"/>
        <v>0.05</v>
      </c>
      <c r="JR60" s="145">
        <f t="shared" si="95"/>
        <v>-4.7619047619047616E-2</v>
      </c>
      <c r="JS60" s="145">
        <f t="shared" si="95"/>
        <v>0.05</v>
      </c>
      <c r="JT60" s="145">
        <f t="shared" si="95"/>
        <v>4.7619047619047616E-2</v>
      </c>
      <c r="JU60" s="145">
        <f t="shared" si="95"/>
        <v>-4.5454545454545456E-2</v>
      </c>
      <c r="JV60" s="145">
        <f t="shared" si="95"/>
        <v>9.5238095238095233E-2</v>
      </c>
      <c r="JW60" s="145">
        <f t="shared" si="95"/>
        <v>-8.6956521739130432E-2</v>
      </c>
      <c r="JX60" s="145">
        <f t="shared" si="95"/>
        <v>0</v>
      </c>
      <c r="JY60" s="145">
        <f t="shared" ref="JY60:KH62" si="96">(CE60-CD60)/CD60</f>
        <v>-0.23809523809523808</v>
      </c>
      <c r="JZ60" s="145">
        <f t="shared" si="96"/>
        <v>0</v>
      </c>
      <c r="KA60" s="145">
        <f t="shared" si="96"/>
        <v>-0.25</v>
      </c>
      <c r="KB60" s="145">
        <f t="shared" si="96"/>
        <v>-0.33333333333333331</v>
      </c>
      <c r="KC60" s="145">
        <f t="shared" si="96"/>
        <v>0</v>
      </c>
      <c r="KD60" s="145">
        <f t="shared" si="96"/>
        <v>1.125</v>
      </c>
      <c r="KE60" s="145">
        <f t="shared" si="96"/>
        <v>-0.47058823529411764</v>
      </c>
      <c r="KF60" s="145">
        <f t="shared" si="96"/>
        <v>0.33333333333333331</v>
      </c>
      <c r="KG60" s="145">
        <f t="shared" si="96"/>
        <v>-8.3333333333333329E-2</v>
      </c>
      <c r="KH60" s="145">
        <f t="shared" si="96"/>
        <v>0.36363636363636365</v>
      </c>
      <c r="KI60" s="145">
        <f t="shared" ref="KI60:KR62" si="97">(CO60-CN60)/CN60</f>
        <v>0.26666666666666666</v>
      </c>
      <c r="KJ60" s="145">
        <f t="shared" si="97"/>
        <v>-0.15789473684210525</v>
      </c>
      <c r="KK60" s="145">
        <f t="shared" si="97"/>
        <v>0</v>
      </c>
      <c r="KL60" s="145">
        <f t="shared" si="97"/>
        <v>-0.125</v>
      </c>
      <c r="KM60" s="145">
        <f t="shared" si="97"/>
        <v>-0.2857142857142857</v>
      </c>
      <c r="KN60" s="145">
        <f t="shared" si="97"/>
        <v>0.2</v>
      </c>
      <c r="KO60" s="145">
        <f t="shared" si="97"/>
        <v>8.3333333333333329E-2</v>
      </c>
      <c r="KP60" s="145">
        <f t="shared" si="97"/>
        <v>0.15384615384615385</v>
      </c>
      <c r="KQ60" s="145">
        <f t="shared" si="97"/>
        <v>-0.4</v>
      </c>
      <c r="KR60" s="145">
        <f t="shared" si="97"/>
        <v>-0.44444444444444442</v>
      </c>
      <c r="KS60" s="145">
        <f t="shared" ref="KS60:LB62" si="98">(CY60-CX60)/CX60</f>
        <v>1</v>
      </c>
      <c r="KT60" s="145">
        <f t="shared" si="98"/>
        <v>0.5</v>
      </c>
      <c r="KU60" s="145">
        <f t="shared" si="98"/>
        <v>0.2</v>
      </c>
      <c r="KV60" s="145">
        <f t="shared" si="98"/>
        <v>0</v>
      </c>
      <c r="KW60" s="145">
        <f t="shared" si="98"/>
        <v>-0.55555555555555558</v>
      </c>
      <c r="KX60" s="145">
        <f t="shared" si="98"/>
        <v>0</v>
      </c>
      <c r="KY60" s="145">
        <f t="shared" si="98"/>
        <v>0.25</v>
      </c>
      <c r="KZ60" s="145">
        <f t="shared" si="98"/>
        <v>-0.1</v>
      </c>
      <c r="LA60" s="145">
        <f t="shared" si="98"/>
        <v>0</v>
      </c>
      <c r="LB60" s="145">
        <f t="shared" si="98"/>
        <v>0.33333333333333331</v>
      </c>
      <c r="LC60" s="145">
        <f t="shared" ref="LC60:LD62" si="99">(DI60-DH60)/DH60</f>
        <v>-0.25</v>
      </c>
      <c r="LD60" s="145">
        <f t="shared" si="99"/>
        <v>-0.33333333333333331</v>
      </c>
      <c r="LE60" s="145">
        <f t="shared" si="84"/>
        <v>0.83333333333333337</v>
      </c>
      <c r="LF60" s="145">
        <f t="shared" si="84"/>
        <v>9.0909090909090912E-2</v>
      </c>
      <c r="LG60" s="145">
        <f t="shared" si="84"/>
        <v>0.41666666666666669</v>
      </c>
      <c r="LH60" s="145">
        <f t="shared" si="84"/>
        <v>0.41176470588235292</v>
      </c>
      <c r="LI60" s="145">
        <f t="shared" si="84"/>
        <v>-0.54166666666666663</v>
      </c>
      <c r="LJ60" s="145">
        <f t="shared" si="84"/>
        <v>-0.36363636363636365</v>
      </c>
      <c r="LK60" s="145">
        <f t="shared" si="84"/>
        <v>-0.42857142857142855</v>
      </c>
      <c r="LL60" s="145">
        <f t="shared" si="84"/>
        <v>-0.5</v>
      </c>
      <c r="LM60" s="145">
        <f t="shared" si="84"/>
        <v>3.5</v>
      </c>
      <c r="LN60" s="145">
        <f t="shared" si="84"/>
        <v>0.66666666666666663</v>
      </c>
      <c r="LO60" s="145">
        <f t="shared" si="85"/>
        <v>-0.4</v>
      </c>
      <c r="LP60" s="145">
        <f t="shared" si="85"/>
        <v>0.55555555555555558</v>
      </c>
      <c r="LQ60" s="145">
        <f t="shared" si="85"/>
        <v>-0.14285714285714285</v>
      </c>
      <c r="LR60" s="145">
        <f t="shared" si="85"/>
        <v>0.25</v>
      </c>
      <c r="LS60" s="145">
        <f t="shared" si="85"/>
        <v>-0.2</v>
      </c>
      <c r="LT60" s="145">
        <f t="shared" si="85"/>
        <v>0.33333333333333331</v>
      </c>
      <c r="LU60" s="145">
        <f t="shared" si="85"/>
        <v>-0.1875</v>
      </c>
      <c r="LV60" s="145">
        <f t="shared" si="85"/>
        <v>-7.6923076923076927E-2</v>
      </c>
      <c r="LW60" s="145">
        <f t="shared" si="85"/>
        <v>0.5</v>
      </c>
      <c r="LX60" s="145">
        <f t="shared" si="85"/>
        <v>-5.5555555555555552E-2</v>
      </c>
      <c r="LY60" s="145">
        <f t="shared" si="86"/>
        <v>-0.29411764705882354</v>
      </c>
      <c r="LZ60" s="145">
        <f t="shared" si="86"/>
        <v>-0.16666666666666666</v>
      </c>
      <c r="MA60" s="145">
        <f t="shared" si="86"/>
        <v>-0.3</v>
      </c>
      <c r="MB60" s="145">
        <f t="shared" si="86"/>
        <v>0.8571428571428571</v>
      </c>
      <c r="MC60" s="145">
        <f t="shared" si="86"/>
        <v>0.15384615384615385</v>
      </c>
      <c r="MD60" s="145">
        <f t="shared" si="86"/>
        <v>6.6666666666666666E-2</v>
      </c>
      <c r="ME60" s="145">
        <f t="shared" si="86"/>
        <v>0.375</v>
      </c>
      <c r="MF60" s="145">
        <f t="shared" si="86"/>
        <v>-9.0909090909090912E-2</v>
      </c>
      <c r="MG60" s="145">
        <f t="shared" si="86"/>
        <v>-0.3</v>
      </c>
      <c r="MH60" s="145">
        <f t="shared" si="86"/>
        <v>-0.5714285714285714</v>
      </c>
      <c r="MI60" s="145">
        <f t="shared" si="87"/>
        <v>0.83333333333333337</v>
      </c>
      <c r="MJ60" s="145">
        <f t="shared" si="87"/>
        <v>9.0909090909090912E-2</v>
      </c>
      <c r="MK60" s="145">
        <f t="shared" si="87"/>
        <v>0.25</v>
      </c>
      <c r="ML60" s="145">
        <f t="shared" si="87"/>
        <v>-6.6666666666666666E-2</v>
      </c>
      <c r="MM60" s="145">
        <f t="shared" si="87"/>
        <v>0.21428571428571427</v>
      </c>
      <c r="MN60" s="145">
        <f t="shared" si="87"/>
        <v>0.29411764705882354</v>
      </c>
      <c r="MO60" s="145">
        <f t="shared" si="87"/>
        <v>0.40909090909090912</v>
      </c>
      <c r="MP60" s="145">
        <f t="shared" si="87"/>
        <v>-0.29032258064516131</v>
      </c>
      <c r="MQ60" s="145">
        <f t="shared" si="87"/>
        <v>-0.31818181818181818</v>
      </c>
      <c r="MR60" s="145">
        <f t="shared" si="87"/>
        <v>-6.6666666666666666E-2</v>
      </c>
      <c r="MS60" s="145">
        <f>(EZ60-EY60)/EY60</f>
        <v>0.3</v>
      </c>
      <c r="MT60" s="145">
        <f t="shared" si="80"/>
        <v>0.23076923076923078</v>
      </c>
      <c r="MU60" s="145">
        <f t="shared" si="80"/>
        <v>-0.13043478260869565</v>
      </c>
      <c r="MV60" s="145">
        <f t="shared" si="80"/>
        <v>4.1666666666666664E-2</v>
      </c>
      <c r="MW60" s="145">
        <f t="shared" si="80"/>
        <v>-0.14285714285714285</v>
      </c>
      <c r="MX60" s="145">
        <f t="shared" si="80"/>
        <v>0.3</v>
      </c>
      <c r="MY60" s="145">
        <f t="shared" si="80"/>
        <v>0</v>
      </c>
      <c r="MZ60" s="145">
        <f t="shared" si="80"/>
        <v>0.1891891891891892</v>
      </c>
      <c r="NA60" s="145">
        <f t="shared" si="80"/>
        <v>0.17777777777777778</v>
      </c>
      <c r="NB60" s="145">
        <f t="shared" si="80"/>
        <v>-0.18421052631578946</v>
      </c>
      <c r="NC60" s="145">
        <f t="shared" si="80"/>
        <v>0.05</v>
      </c>
      <c r="ND60" s="145">
        <f t="shared" si="81"/>
        <v>2.4390243902439025E-2</v>
      </c>
      <c r="NE60" s="145">
        <f t="shared" si="81"/>
        <v>-0.17142857142857143</v>
      </c>
      <c r="NF60" s="145">
        <f t="shared" si="81"/>
        <v>-9.375E-2</v>
      </c>
      <c r="NG60" s="145">
        <f t="shared" si="81"/>
        <v>-0.33333333333333331</v>
      </c>
      <c r="NH60" s="145">
        <f t="shared" si="81"/>
        <v>0.17241379310344829</v>
      </c>
      <c r="NI60" s="145">
        <f t="shared" si="81"/>
        <v>-0.16</v>
      </c>
      <c r="NJ60" s="145">
        <f t="shared" si="81"/>
        <v>0.21875</v>
      </c>
      <c r="NK60" s="145">
        <f t="shared" si="81"/>
        <v>-0.28000000000000003</v>
      </c>
      <c r="NL60" s="145">
        <f t="shared" si="81"/>
        <v>0.32432432432432434</v>
      </c>
      <c r="NM60" s="145">
        <f t="shared" si="81"/>
        <v>7.4999999999999997E-2</v>
      </c>
      <c r="NN60" s="145">
        <f t="shared" si="82"/>
        <v>0.1111111111111111</v>
      </c>
      <c r="NO60" s="145">
        <f t="shared" si="82"/>
        <v>-0.18421052631578946</v>
      </c>
      <c r="NP60" s="145">
        <f t="shared" si="82"/>
        <v>7.3170731707317069E-2</v>
      </c>
      <c r="NQ60" s="145">
        <f t="shared" si="82"/>
        <v>-0.51851851851851849</v>
      </c>
      <c r="NR60" s="145">
        <f t="shared" si="82"/>
        <v>0.20588235294117646</v>
      </c>
      <c r="NS60" s="145">
        <f t="shared" si="82"/>
        <v>-0.13333333333333333</v>
      </c>
      <c r="NT60" s="145">
        <f t="shared" si="82"/>
        <v>-7.1428571428571425E-2</v>
      </c>
      <c r="NU60" s="145">
        <f t="shared" si="82"/>
        <v>0.15151515151515152</v>
      </c>
      <c r="NV60" s="145">
        <f t="shared" si="82"/>
        <v>-0.5714285714285714</v>
      </c>
      <c r="NW60" s="145">
        <f t="shared" si="82"/>
        <v>-0.16666666666666666</v>
      </c>
      <c r="NX60" s="145">
        <f t="shared" si="83"/>
        <v>0.30769230769230771</v>
      </c>
      <c r="NY60" s="145">
        <f t="shared" si="83"/>
        <v>0.13333333333333333</v>
      </c>
      <c r="NZ60" s="145">
        <f t="shared" si="83"/>
        <v>0.1891891891891892</v>
      </c>
      <c r="OA60" s="145">
        <f t="shared" si="83"/>
        <v>9.7560975609756101E-2</v>
      </c>
      <c r="OB60" s="145">
        <f t="shared" si="83"/>
        <v>-5.128205128205128E-2</v>
      </c>
      <c r="OC60" s="145">
        <f t="shared" si="83"/>
        <v>-0.14705882352941177</v>
      </c>
      <c r="OD60" s="145">
        <f t="shared" si="83"/>
        <v>0.17073170731707318</v>
      </c>
      <c r="OE60" s="145">
        <f t="shared" si="83"/>
        <v>-0.36666666666666664</v>
      </c>
      <c r="OF60" s="145">
        <f t="shared" si="83"/>
        <v>-0.2</v>
      </c>
      <c r="OG60" s="145">
        <f t="shared" si="83"/>
        <v>-0.13636363636363635</v>
      </c>
      <c r="OH60" s="145">
        <f t="shared" si="83"/>
        <v>0.12</v>
      </c>
      <c r="OI60" s="145">
        <f t="shared" si="83"/>
        <v>-0.92307692307692313</v>
      </c>
      <c r="OJ60" s="145">
        <f t="shared" si="83"/>
        <v>0.40909090909090912</v>
      </c>
      <c r="OK60" s="145">
        <f t="shared" si="83"/>
        <v>-4.7619047619047616E-2</v>
      </c>
      <c r="OL60" s="145">
        <f t="shared" si="83"/>
        <v>0.19230769230769232</v>
      </c>
    </row>
    <row r="61" spans="1:402" s="145" customFormat="1" ht="19.5" customHeight="1" x14ac:dyDescent="0.35">
      <c r="A61" s="12" t="s">
        <v>33</v>
      </c>
      <c r="B61" s="156">
        <v>7</v>
      </c>
      <c r="C61" s="156">
        <v>10</v>
      </c>
      <c r="D61" s="156">
        <v>5</v>
      </c>
      <c r="E61" s="156">
        <v>9</v>
      </c>
      <c r="F61" s="156">
        <f>'[1]Jan 08'!C25</f>
        <v>12</v>
      </c>
      <c r="G61" s="143">
        <f>'[1]Feb 08'!C25</f>
        <v>17</v>
      </c>
      <c r="H61" s="143">
        <f>'[1]Mar 08'!C25</f>
        <v>13</v>
      </c>
      <c r="I61" s="143">
        <v>5</v>
      </c>
      <c r="J61" s="143">
        <f>'[1]May 08'!C25</f>
        <v>8</v>
      </c>
      <c r="K61" s="143">
        <f>'[1]Jun 08'!C25</f>
        <v>6</v>
      </c>
      <c r="L61" s="143">
        <f>'[1]Jul 08'!C25</f>
        <v>10</v>
      </c>
      <c r="M61" s="143">
        <f>'[1]Aug 08'!C25</f>
        <v>9</v>
      </c>
      <c r="N61" s="143">
        <v>8</v>
      </c>
      <c r="O61" s="143">
        <v>8</v>
      </c>
      <c r="P61" s="143">
        <v>7</v>
      </c>
      <c r="Q61" s="143">
        <v>4</v>
      </c>
      <c r="R61" s="143">
        <v>7</v>
      </c>
      <c r="S61" s="143">
        <v>3</v>
      </c>
      <c r="T61" s="143">
        <v>9</v>
      </c>
      <c r="U61" s="143">
        <v>4</v>
      </c>
      <c r="V61" s="143">
        <v>11</v>
      </c>
      <c r="W61" s="143">
        <v>8</v>
      </c>
      <c r="X61" s="143">
        <v>13</v>
      </c>
      <c r="Y61" s="143">
        <v>6</v>
      </c>
      <c r="Z61" s="143">
        <v>10</v>
      </c>
      <c r="AA61" s="143">
        <v>12</v>
      </c>
      <c r="AB61" s="143">
        <v>8</v>
      </c>
      <c r="AC61" s="143">
        <v>13</v>
      </c>
      <c r="AD61" s="143">
        <v>12</v>
      </c>
      <c r="AE61" s="143">
        <v>10</v>
      </c>
      <c r="AF61" s="143">
        <v>16</v>
      </c>
      <c r="AG61" s="143">
        <v>8</v>
      </c>
      <c r="AH61" s="143">
        <v>10</v>
      </c>
      <c r="AI61" s="143">
        <v>11</v>
      </c>
      <c r="AJ61" s="143">
        <v>7</v>
      </c>
      <c r="AK61" s="143">
        <v>7</v>
      </c>
      <c r="AL61" s="143">
        <v>7</v>
      </c>
      <c r="AM61" s="143">
        <v>6</v>
      </c>
      <c r="AN61" s="143">
        <v>5</v>
      </c>
      <c r="AO61" s="143">
        <v>5</v>
      </c>
      <c r="AP61" s="143">
        <v>5</v>
      </c>
      <c r="AQ61" s="143">
        <v>7</v>
      </c>
      <c r="AR61" s="143">
        <v>13</v>
      </c>
      <c r="AS61" s="143">
        <v>6</v>
      </c>
      <c r="AT61" s="143">
        <v>12</v>
      </c>
      <c r="AU61" s="143">
        <v>9</v>
      </c>
      <c r="AV61" s="143">
        <v>12</v>
      </c>
      <c r="AW61" s="143">
        <v>10</v>
      </c>
      <c r="AX61" s="143">
        <v>7</v>
      </c>
      <c r="AY61" s="143">
        <v>8</v>
      </c>
      <c r="AZ61" s="143">
        <v>4</v>
      </c>
      <c r="BA61" s="143">
        <v>5</v>
      </c>
      <c r="BB61" s="143">
        <v>9</v>
      </c>
      <c r="BC61" s="143">
        <v>8</v>
      </c>
      <c r="BD61" s="143">
        <v>9</v>
      </c>
      <c r="BE61" s="143">
        <v>9</v>
      </c>
      <c r="BF61" s="143">
        <v>9</v>
      </c>
      <c r="BG61" s="143">
        <v>10</v>
      </c>
      <c r="BH61" s="143">
        <v>9</v>
      </c>
      <c r="BI61" s="143">
        <v>8</v>
      </c>
      <c r="BJ61" s="143">
        <v>4</v>
      </c>
      <c r="BK61" s="143">
        <v>7</v>
      </c>
      <c r="BL61" s="143">
        <v>11</v>
      </c>
      <c r="BM61" s="143">
        <v>11</v>
      </c>
      <c r="BN61" s="143">
        <v>9</v>
      </c>
      <c r="BO61" s="143">
        <v>15</v>
      </c>
      <c r="BP61" s="143">
        <v>14</v>
      </c>
      <c r="BQ61" s="143">
        <v>7</v>
      </c>
      <c r="BR61" s="143">
        <v>17</v>
      </c>
      <c r="BS61" s="143">
        <v>19</v>
      </c>
      <c r="BT61" s="143">
        <v>9</v>
      </c>
      <c r="BU61" s="143">
        <v>10</v>
      </c>
      <c r="BV61" s="143">
        <v>9</v>
      </c>
      <c r="BW61" s="143">
        <v>5</v>
      </c>
      <c r="BX61" s="143">
        <v>10</v>
      </c>
      <c r="BY61" s="143">
        <v>15</v>
      </c>
      <c r="BZ61" s="143">
        <v>10</v>
      </c>
      <c r="CA61" s="143">
        <v>12</v>
      </c>
      <c r="CB61" s="143">
        <v>9</v>
      </c>
      <c r="CC61" s="143">
        <v>15</v>
      </c>
      <c r="CD61" s="143">
        <v>13</v>
      </c>
      <c r="CE61" s="143">
        <v>20</v>
      </c>
      <c r="CF61" s="143">
        <v>8</v>
      </c>
      <c r="CG61" s="143">
        <v>8</v>
      </c>
      <c r="CH61" s="143">
        <v>13</v>
      </c>
      <c r="CI61" s="143">
        <v>8</v>
      </c>
      <c r="CJ61" s="143">
        <v>5</v>
      </c>
      <c r="CK61" s="143">
        <v>16</v>
      </c>
      <c r="CL61" s="143">
        <v>7</v>
      </c>
      <c r="CM61" s="143">
        <v>11</v>
      </c>
      <c r="CN61" s="143">
        <v>8</v>
      </c>
      <c r="CO61" s="143">
        <v>12</v>
      </c>
      <c r="CP61" s="143">
        <v>10</v>
      </c>
      <c r="CQ61" s="143">
        <v>19</v>
      </c>
      <c r="CR61" s="143">
        <v>8</v>
      </c>
      <c r="CS61" s="143">
        <v>11</v>
      </c>
      <c r="CT61" s="143">
        <v>5</v>
      </c>
      <c r="CU61" s="143">
        <v>7</v>
      </c>
      <c r="CV61" s="143">
        <v>10</v>
      </c>
      <c r="CW61" s="143">
        <v>12</v>
      </c>
      <c r="CX61" s="143">
        <v>11</v>
      </c>
      <c r="CY61" s="143">
        <v>9</v>
      </c>
      <c r="CZ61" s="143">
        <v>14</v>
      </c>
      <c r="DA61" s="143">
        <v>18</v>
      </c>
      <c r="DB61" s="143">
        <v>17</v>
      </c>
      <c r="DC61" s="143">
        <v>15</v>
      </c>
      <c r="DD61" s="143">
        <v>8</v>
      </c>
      <c r="DE61" s="143">
        <v>10</v>
      </c>
      <c r="DF61" s="143">
        <v>7</v>
      </c>
      <c r="DG61" s="143">
        <v>7</v>
      </c>
      <c r="DH61" s="143">
        <v>14</v>
      </c>
      <c r="DI61" s="143">
        <v>14</v>
      </c>
      <c r="DJ61" s="143">
        <v>12</v>
      </c>
      <c r="DK61" s="143">
        <v>7</v>
      </c>
      <c r="DL61" s="143">
        <v>18</v>
      </c>
      <c r="DM61" s="143">
        <v>10</v>
      </c>
      <c r="DN61" s="143">
        <v>16</v>
      </c>
      <c r="DO61" s="143">
        <v>24</v>
      </c>
      <c r="DP61" s="143">
        <v>19</v>
      </c>
      <c r="DQ61" s="143">
        <v>10</v>
      </c>
      <c r="DR61" s="143">
        <v>12</v>
      </c>
      <c r="DS61" s="143">
        <v>4</v>
      </c>
      <c r="DT61" s="143">
        <v>11</v>
      </c>
      <c r="DU61" s="143">
        <v>17</v>
      </c>
      <c r="DV61" s="143">
        <v>18</v>
      </c>
      <c r="DW61" s="143">
        <v>13</v>
      </c>
      <c r="DX61" s="143">
        <v>18</v>
      </c>
      <c r="DY61" s="143">
        <v>15</v>
      </c>
      <c r="DZ61" s="143">
        <v>11</v>
      </c>
      <c r="EA61" s="143">
        <v>27</v>
      </c>
      <c r="EB61" s="143">
        <v>16</v>
      </c>
      <c r="EC61" s="143">
        <v>10</v>
      </c>
      <c r="ED61" s="143">
        <v>21</v>
      </c>
      <c r="EE61" s="143">
        <v>20</v>
      </c>
      <c r="EF61" s="143">
        <v>18</v>
      </c>
      <c r="EG61" s="143">
        <v>16</v>
      </c>
      <c r="EH61" s="143">
        <v>12</v>
      </c>
      <c r="EI61" s="143">
        <v>15</v>
      </c>
      <c r="EJ61" s="143">
        <v>17</v>
      </c>
      <c r="EK61" s="143">
        <v>31</v>
      </c>
      <c r="EL61" s="143">
        <v>30</v>
      </c>
      <c r="EM61" s="143">
        <v>27</v>
      </c>
      <c r="EN61" s="143">
        <v>23</v>
      </c>
      <c r="EO61" s="143">
        <v>13</v>
      </c>
      <c r="EP61" s="143">
        <v>9</v>
      </c>
      <c r="EQ61" s="143">
        <v>14</v>
      </c>
      <c r="ER61" s="143">
        <v>19</v>
      </c>
      <c r="ES61" s="143">
        <v>22</v>
      </c>
      <c r="ET61" s="143">
        <v>14</v>
      </c>
      <c r="EU61" s="143">
        <v>32</v>
      </c>
      <c r="EV61" s="143">
        <v>32</v>
      </c>
      <c r="EW61" s="143">
        <v>21</v>
      </c>
      <c r="EX61" s="143">
        <v>16</v>
      </c>
      <c r="EY61" s="143">
        <v>23</v>
      </c>
      <c r="EZ61" s="143">
        <v>36</v>
      </c>
      <c r="FA61" s="143">
        <v>26</v>
      </c>
      <c r="FB61" s="143">
        <v>43</v>
      </c>
      <c r="FC61" s="143">
        <v>43</v>
      </c>
      <c r="FD61" s="143">
        <v>25</v>
      </c>
      <c r="FE61" s="143">
        <v>45</v>
      </c>
      <c r="FF61" s="143">
        <v>30</v>
      </c>
      <c r="FG61" s="143">
        <v>49</v>
      </c>
      <c r="FH61" s="143">
        <v>58</v>
      </c>
      <c r="FI61" s="143">
        <v>50</v>
      </c>
      <c r="FJ61" s="143">
        <v>65</v>
      </c>
      <c r="FK61" s="143">
        <v>71</v>
      </c>
      <c r="FL61" s="143">
        <v>49</v>
      </c>
      <c r="FM61" s="143">
        <v>56</v>
      </c>
      <c r="FN61" s="143">
        <v>31</v>
      </c>
      <c r="FO61" s="143">
        <v>38</v>
      </c>
      <c r="FP61" s="143">
        <v>33</v>
      </c>
      <c r="FQ61" s="143">
        <v>55</v>
      </c>
      <c r="FR61" s="143">
        <v>46</v>
      </c>
      <c r="FS61" s="143">
        <v>56</v>
      </c>
      <c r="FT61" s="143">
        <v>57</v>
      </c>
      <c r="FU61" s="143">
        <v>55</v>
      </c>
      <c r="FV61" s="143">
        <v>55</v>
      </c>
      <c r="FW61" s="143">
        <v>62</v>
      </c>
      <c r="FX61" s="143">
        <v>32</v>
      </c>
      <c r="FY61" s="143">
        <v>45</v>
      </c>
      <c r="FZ61" s="143">
        <v>34</v>
      </c>
      <c r="GA61" s="143">
        <v>29</v>
      </c>
      <c r="GB61" s="143">
        <v>37</v>
      </c>
      <c r="GC61" s="143">
        <v>28</v>
      </c>
      <c r="GD61" s="143">
        <v>26</v>
      </c>
      <c r="GE61" s="143">
        <v>27</v>
      </c>
      <c r="GF61" s="143">
        <v>43</v>
      </c>
      <c r="GG61" s="143">
        <v>46</v>
      </c>
      <c r="GH61" s="143">
        <v>57</v>
      </c>
      <c r="GI61" s="143">
        <v>51</v>
      </c>
      <c r="GJ61" s="143">
        <v>34</v>
      </c>
      <c r="GK61" s="143">
        <v>41</v>
      </c>
      <c r="GL61" s="143">
        <v>33</v>
      </c>
      <c r="GM61" s="143">
        <v>27</v>
      </c>
      <c r="GN61" s="143">
        <v>30</v>
      </c>
      <c r="GO61" s="143">
        <v>38</v>
      </c>
      <c r="GP61" s="143">
        <v>31</v>
      </c>
      <c r="GQ61" s="143">
        <v>53</v>
      </c>
      <c r="GR61" s="143">
        <v>47</v>
      </c>
      <c r="GS61" s="143">
        <f>SUM(B61:GR61)/198</f>
        <v>18.90909090909091</v>
      </c>
      <c r="GT61" s="152"/>
      <c r="GU61" s="12" t="s">
        <v>33</v>
      </c>
      <c r="GV61" s="145" t="s">
        <v>30</v>
      </c>
      <c r="GW61" s="145">
        <f t="shared" si="88"/>
        <v>0.42857142857142855</v>
      </c>
      <c r="GX61" s="145">
        <f t="shared" si="88"/>
        <v>-0.5</v>
      </c>
      <c r="GY61" s="145">
        <f t="shared" si="88"/>
        <v>0.8</v>
      </c>
      <c r="GZ61" s="145">
        <f t="shared" si="88"/>
        <v>0.33333333333333331</v>
      </c>
      <c r="HA61" s="145">
        <f t="shared" si="88"/>
        <v>0.41666666666666669</v>
      </c>
      <c r="HB61" s="145">
        <f t="shared" si="88"/>
        <v>-0.23529411764705882</v>
      </c>
      <c r="HC61" s="145">
        <f t="shared" si="88"/>
        <v>-0.61538461538461542</v>
      </c>
      <c r="HD61" s="145">
        <f t="shared" si="88"/>
        <v>0.6</v>
      </c>
      <c r="HE61" s="145">
        <f t="shared" si="88"/>
        <v>-0.25</v>
      </c>
      <c r="HF61" s="145">
        <f t="shared" si="88"/>
        <v>0.66666666666666663</v>
      </c>
      <c r="HG61" s="145">
        <f t="shared" si="89"/>
        <v>-0.1</v>
      </c>
      <c r="HH61" s="145">
        <f t="shared" si="89"/>
        <v>-0.1111111111111111</v>
      </c>
      <c r="HI61" s="145">
        <f t="shared" si="89"/>
        <v>0</v>
      </c>
      <c r="HJ61" s="145">
        <f t="shared" si="89"/>
        <v>-0.125</v>
      </c>
      <c r="HK61" s="145">
        <f t="shared" si="89"/>
        <v>-0.42857142857142855</v>
      </c>
      <c r="HL61" s="145">
        <f t="shared" si="89"/>
        <v>0.75</v>
      </c>
      <c r="HM61" s="145">
        <f t="shared" si="89"/>
        <v>-0.5714285714285714</v>
      </c>
      <c r="HN61" s="145">
        <f t="shared" si="89"/>
        <v>2</v>
      </c>
      <c r="HO61" s="145">
        <f t="shared" si="89"/>
        <v>-0.55555555555555558</v>
      </c>
      <c r="HP61" s="145">
        <f t="shared" si="89"/>
        <v>1.75</v>
      </c>
      <c r="HQ61" s="145">
        <f t="shared" si="90"/>
        <v>-0.27272727272727271</v>
      </c>
      <c r="HR61" s="145">
        <f t="shared" si="90"/>
        <v>0.625</v>
      </c>
      <c r="HS61" s="145">
        <f t="shared" si="90"/>
        <v>-0.53846153846153844</v>
      </c>
      <c r="HT61" s="145">
        <f t="shared" si="90"/>
        <v>0.66666666666666663</v>
      </c>
      <c r="HU61" s="145">
        <f t="shared" si="90"/>
        <v>0.2</v>
      </c>
      <c r="HV61" s="145">
        <f t="shared" si="90"/>
        <v>-0.33333333333333331</v>
      </c>
      <c r="HW61" s="145">
        <f t="shared" si="90"/>
        <v>0.625</v>
      </c>
      <c r="HX61" s="145">
        <f t="shared" si="90"/>
        <v>-7.6923076923076927E-2</v>
      </c>
      <c r="HY61" s="145">
        <f t="shared" si="90"/>
        <v>-0.16666666666666666</v>
      </c>
      <c r="HZ61" s="145">
        <f t="shared" si="90"/>
        <v>0.6</v>
      </c>
      <c r="IA61" s="145">
        <f t="shared" si="91"/>
        <v>-0.5</v>
      </c>
      <c r="IB61" s="145">
        <f t="shared" si="91"/>
        <v>0.25</v>
      </c>
      <c r="IC61" s="145">
        <f t="shared" si="91"/>
        <v>0.1</v>
      </c>
      <c r="ID61" s="145">
        <f t="shared" si="91"/>
        <v>-0.36363636363636365</v>
      </c>
      <c r="IE61" s="145">
        <f t="shared" si="91"/>
        <v>0</v>
      </c>
      <c r="IF61" s="145">
        <f t="shared" si="91"/>
        <v>0</v>
      </c>
      <c r="IG61" s="145">
        <f t="shared" si="91"/>
        <v>-0.14285714285714285</v>
      </c>
      <c r="IH61" s="145">
        <f t="shared" si="91"/>
        <v>-0.16666666666666666</v>
      </c>
      <c r="II61" s="145">
        <f t="shared" si="91"/>
        <v>0</v>
      </c>
      <c r="IJ61" s="145">
        <f t="shared" si="91"/>
        <v>0</v>
      </c>
      <c r="IK61" s="145">
        <f t="shared" si="92"/>
        <v>0.4</v>
      </c>
      <c r="IL61" s="145">
        <f t="shared" si="92"/>
        <v>0.8571428571428571</v>
      </c>
      <c r="IM61" s="145">
        <f t="shared" si="92"/>
        <v>-0.53846153846153844</v>
      </c>
      <c r="IN61" s="145">
        <f t="shared" si="92"/>
        <v>1</v>
      </c>
      <c r="IO61" s="145">
        <f t="shared" si="92"/>
        <v>-0.25</v>
      </c>
      <c r="IP61" s="145">
        <f t="shared" si="92"/>
        <v>0.33333333333333331</v>
      </c>
      <c r="IQ61" s="145">
        <f t="shared" si="92"/>
        <v>-0.16666666666666666</v>
      </c>
      <c r="IR61" s="145">
        <f t="shared" si="92"/>
        <v>-0.3</v>
      </c>
      <c r="IS61" s="145">
        <f t="shared" si="92"/>
        <v>0.14285714285714285</v>
      </c>
      <c r="IT61" s="145">
        <f t="shared" si="92"/>
        <v>-0.5</v>
      </c>
      <c r="IU61" s="145">
        <f t="shared" si="93"/>
        <v>0.25</v>
      </c>
      <c r="IV61" s="145">
        <f t="shared" si="93"/>
        <v>0.8</v>
      </c>
      <c r="IW61" s="145">
        <f t="shared" si="93"/>
        <v>-0.1111111111111111</v>
      </c>
      <c r="IX61" s="145">
        <f t="shared" si="93"/>
        <v>0.125</v>
      </c>
      <c r="IY61" s="145">
        <f t="shared" si="93"/>
        <v>0</v>
      </c>
      <c r="IZ61" s="145">
        <f t="shared" si="93"/>
        <v>0</v>
      </c>
      <c r="JA61" s="145">
        <f t="shared" si="93"/>
        <v>0.1111111111111111</v>
      </c>
      <c r="JB61" s="145">
        <f t="shared" si="93"/>
        <v>-0.1</v>
      </c>
      <c r="JC61" s="145">
        <f t="shared" si="93"/>
        <v>-0.1111111111111111</v>
      </c>
      <c r="JD61" s="145">
        <f t="shared" si="93"/>
        <v>-0.5</v>
      </c>
      <c r="JE61" s="145">
        <f t="shared" si="94"/>
        <v>0.75</v>
      </c>
      <c r="JF61" s="145">
        <f t="shared" si="94"/>
        <v>0.5714285714285714</v>
      </c>
      <c r="JG61" s="145">
        <f t="shared" si="94"/>
        <v>0</v>
      </c>
      <c r="JH61" s="145">
        <f t="shared" si="94"/>
        <v>-0.18181818181818182</v>
      </c>
      <c r="JI61" s="145">
        <f t="shared" si="94"/>
        <v>0.66666666666666663</v>
      </c>
      <c r="JJ61" s="145">
        <f t="shared" si="94"/>
        <v>-6.6666666666666666E-2</v>
      </c>
      <c r="JK61" s="145">
        <f t="shared" si="94"/>
        <v>-0.5</v>
      </c>
      <c r="JL61" s="145">
        <f t="shared" si="94"/>
        <v>1.4285714285714286</v>
      </c>
      <c r="JM61" s="145">
        <f t="shared" si="94"/>
        <v>0.11764705882352941</v>
      </c>
      <c r="JN61" s="145">
        <f t="shared" si="94"/>
        <v>-0.52631578947368418</v>
      </c>
      <c r="JO61" s="145">
        <f t="shared" si="95"/>
        <v>0.1111111111111111</v>
      </c>
      <c r="JP61" s="145">
        <f t="shared" si="95"/>
        <v>-0.1</v>
      </c>
      <c r="JQ61" s="145">
        <f t="shared" si="95"/>
        <v>-0.44444444444444442</v>
      </c>
      <c r="JR61" s="145">
        <f t="shared" si="95"/>
        <v>1</v>
      </c>
      <c r="JS61" s="145">
        <f t="shared" si="95"/>
        <v>0.5</v>
      </c>
      <c r="JT61" s="145">
        <f t="shared" si="95"/>
        <v>-0.33333333333333331</v>
      </c>
      <c r="JU61" s="145">
        <f t="shared" si="95"/>
        <v>0.2</v>
      </c>
      <c r="JV61" s="145">
        <f t="shared" si="95"/>
        <v>-0.25</v>
      </c>
      <c r="JW61" s="145">
        <f t="shared" si="95"/>
        <v>0.66666666666666663</v>
      </c>
      <c r="JX61" s="145">
        <f t="shared" si="95"/>
        <v>-0.13333333333333333</v>
      </c>
      <c r="JY61" s="145">
        <f t="shared" si="96"/>
        <v>0.53846153846153844</v>
      </c>
      <c r="JZ61" s="145">
        <f t="shared" si="96"/>
        <v>-0.6</v>
      </c>
      <c r="KA61" s="145">
        <f t="shared" si="96"/>
        <v>0</v>
      </c>
      <c r="KB61" s="145">
        <f t="shared" si="96"/>
        <v>0.625</v>
      </c>
      <c r="KC61" s="145">
        <f t="shared" si="96"/>
        <v>-0.38461538461538464</v>
      </c>
      <c r="KD61" s="145">
        <f t="shared" si="96"/>
        <v>-0.375</v>
      </c>
      <c r="KE61" s="145">
        <f t="shared" si="96"/>
        <v>2.2000000000000002</v>
      </c>
      <c r="KF61" s="145">
        <f t="shared" si="96"/>
        <v>-0.5625</v>
      </c>
      <c r="KG61" s="145">
        <f t="shared" si="96"/>
        <v>0.5714285714285714</v>
      </c>
      <c r="KH61" s="145">
        <f t="shared" si="96"/>
        <v>-0.27272727272727271</v>
      </c>
      <c r="KI61" s="145">
        <f t="shared" si="97"/>
        <v>0.5</v>
      </c>
      <c r="KJ61" s="145">
        <f t="shared" si="97"/>
        <v>-0.16666666666666666</v>
      </c>
      <c r="KK61" s="145">
        <f t="shared" si="97"/>
        <v>0.9</v>
      </c>
      <c r="KL61" s="145">
        <f t="shared" si="97"/>
        <v>-0.57894736842105265</v>
      </c>
      <c r="KM61" s="145">
        <f t="shared" si="97"/>
        <v>0.375</v>
      </c>
      <c r="KN61" s="145">
        <f t="shared" si="97"/>
        <v>-0.54545454545454541</v>
      </c>
      <c r="KO61" s="145">
        <f t="shared" si="97"/>
        <v>0.4</v>
      </c>
      <c r="KP61" s="145">
        <f t="shared" si="97"/>
        <v>0.42857142857142855</v>
      </c>
      <c r="KQ61" s="145">
        <f t="shared" si="97"/>
        <v>0.2</v>
      </c>
      <c r="KR61" s="145">
        <f t="shared" si="97"/>
        <v>-8.3333333333333329E-2</v>
      </c>
      <c r="KS61" s="145">
        <f t="shared" si="98"/>
        <v>-0.18181818181818182</v>
      </c>
      <c r="KT61" s="145">
        <f t="shared" si="98"/>
        <v>0.55555555555555558</v>
      </c>
      <c r="KU61" s="145">
        <f t="shared" si="98"/>
        <v>0.2857142857142857</v>
      </c>
      <c r="KV61" s="145">
        <f t="shared" si="98"/>
        <v>-5.5555555555555552E-2</v>
      </c>
      <c r="KW61" s="145">
        <f t="shared" si="98"/>
        <v>-0.11764705882352941</v>
      </c>
      <c r="KX61" s="145">
        <f t="shared" si="98"/>
        <v>-0.46666666666666667</v>
      </c>
      <c r="KY61" s="145">
        <f t="shared" si="98"/>
        <v>0.25</v>
      </c>
      <c r="KZ61" s="145">
        <f t="shared" si="98"/>
        <v>-0.3</v>
      </c>
      <c r="LA61" s="145">
        <f t="shared" si="98"/>
        <v>0</v>
      </c>
      <c r="LB61" s="145">
        <f t="shared" si="98"/>
        <v>1</v>
      </c>
      <c r="LC61" s="145">
        <f t="shared" si="99"/>
        <v>0</v>
      </c>
      <c r="LD61" s="145">
        <f t="shared" si="99"/>
        <v>-0.14285714285714285</v>
      </c>
      <c r="LE61" s="145">
        <f t="shared" si="84"/>
        <v>-0.41666666666666669</v>
      </c>
      <c r="LF61" s="145">
        <f t="shared" si="84"/>
        <v>1.5714285714285714</v>
      </c>
      <c r="LG61" s="145">
        <f t="shared" si="84"/>
        <v>-0.44444444444444442</v>
      </c>
      <c r="LH61" s="145">
        <f t="shared" si="84"/>
        <v>0.6</v>
      </c>
      <c r="LI61" s="145">
        <f t="shared" si="84"/>
        <v>0.5</v>
      </c>
      <c r="LJ61" s="145">
        <f t="shared" si="84"/>
        <v>-0.20833333333333334</v>
      </c>
      <c r="LK61" s="145">
        <f t="shared" si="84"/>
        <v>-0.47368421052631576</v>
      </c>
      <c r="LL61" s="145">
        <f t="shared" si="84"/>
        <v>0.2</v>
      </c>
      <c r="LM61" s="145">
        <f t="shared" si="84"/>
        <v>-0.66666666666666663</v>
      </c>
      <c r="LN61" s="145">
        <f t="shared" si="84"/>
        <v>1.75</v>
      </c>
      <c r="LO61" s="145">
        <f t="shared" si="85"/>
        <v>0.54545454545454541</v>
      </c>
      <c r="LP61" s="145">
        <f t="shared" si="85"/>
        <v>5.8823529411764705E-2</v>
      </c>
      <c r="LQ61" s="145">
        <f t="shared" si="85"/>
        <v>-0.27777777777777779</v>
      </c>
      <c r="LR61" s="145">
        <f t="shared" si="85"/>
        <v>0.38461538461538464</v>
      </c>
      <c r="LS61" s="145">
        <f t="shared" si="85"/>
        <v>-0.16666666666666666</v>
      </c>
      <c r="LT61" s="145">
        <f t="shared" si="85"/>
        <v>-0.26666666666666666</v>
      </c>
      <c r="LU61" s="145">
        <f t="shared" si="85"/>
        <v>1.4545454545454546</v>
      </c>
      <c r="LV61" s="145">
        <f t="shared" si="85"/>
        <v>-0.40740740740740738</v>
      </c>
      <c r="LW61" s="145">
        <f t="shared" si="85"/>
        <v>-0.375</v>
      </c>
      <c r="LX61" s="145">
        <f t="shared" si="85"/>
        <v>1.1000000000000001</v>
      </c>
      <c r="LY61" s="145">
        <f t="shared" si="86"/>
        <v>-4.7619047619047616E-2</v>
      </c>
      <c r="LZ61" s="145">
        <f t="shared" si="86"/>
        <v>-0.1</v>
      </c>
      <c r="MA61" s="145">
        <f t="shared" si="86"/>
        <v>-0.1111111111111111</v>
      </c>
      <c r="MB61" s="145">
        <f t="shared" si="86"/>
        <v>-0.25</v>
      </c>
      <c r="MC61" s="145">
        <f t="shared" si="86"/>
        <v>0.25</v>
      </c>
      <c r="MD61" s="145">
        <f t="shared" si="86"/>
        <v>0.13333333333333333</v>
      </c>
      <c r="ME61" s="145">
        <f t="shared" si="86"/>
        <v>0.82352941176470584</v>
      </c>
      <c r="MF61" s="145">
        <f t="shared" si="86"/>
        <v>-3.2258064516129031E-2</v>
      </c>
      <c r="MG61" s="145">
        <f t="shared" si="86"/>
        <v>-0.1</v>
      </c>
      <c r="MH61" s="145">
        <f t="shared" si="86"/>
        <v>-0.14814814814814814</v>
      </c>
      <c r="MI61" s="145">
        <f t="shared" si="87"/>
        <v>-0.43478260869565216</v>
      </c>
      <c r="MJ61" s="145">
        <f t="shared" si="87"/>
        <v>-0.30769230769230771</v>
      </c>
      <c r="MK61" s="145">
        <f t="shared" si="87"/>
        <v>0.55555555555555558</v>
      </c>
      <c r="ML61" s="145">
        <f t="shared" si="87"/>
        <v>0.35714285714285715</v>
      </c>
      <c r="MM61" s="145">
        <f t="shared" si="87"/>
        <v>0.15789473684210525</v>
      </c>
      <c r="MN61" s="145">
        <f t="shared" si="87"/>
        <v>-0.36363636363636365</v>
      </c>
      <c r="MO61" s="145">
        <f t="shared" si="87"/>
        <v>1.2857142857142858</v>
      </c>
      <c r="MP61" s="145">
        <f t="shared" si="87"/>
        <v>0</v>
      </c>
      <c r="MQ61" s="145">
        <f t="shared" si="87"/>
        <v>-0.34375</v>
      </c>
      <c r="MR61" s="145">
        <f t="shared" si="87"/>
        <v>-0.23809523809523808</v>
      </c>
      <c r="MS61" s="145">
        <f>(EZ61-EY61)/EY61</f>
        <v>0.56521739130434778</v>
      </c>
      <c r="MT61" s="145">
        <f t="shared" si="80"/>
        <v>0.3611111111111111</v>
      </c>
      <c r="MU61" s="145">
        <f t="shared" si="80"/>
        <v>-0.38461538461538464</v>
      </c>
      <c r="MV61" s="145">
        <f t="shared" si="80"/>
        <v>0.39534883720930231</v>
      </c>
      <c r="MW61" s="145">
        <f t="shared" si="80"/>
        <v>0</v>
      </c>
      <c r="MX61" s="145">
        <f t="shared" si="80"/>
        <v>-0.72</v>
      </c>
      <c r="MY61" s="145">
        <f t="shared" si="80"/>
        <v>0.44444444444444442</v>
      </c>
      <c r="MZ61" s="145">
        <f t="shared" si="80"/>
        <v>-0.5</v>
      </c>
      <c r="NA61" s="145">
        <f t="shared" si="80"/>
        <v>0.38775510204081631</v>
      </c>
      <c r="NB61" s="145">
        <f t="shared" si="80"/>
        <v>0.15517241379310345</v>
      </c>
      <c r="NC61" s="145">
        <f t="shared" si="80"/>
        <v>-0.16</v>
      </c>
      <c r="ND61" s="145">
        <f t="shared" si="81"/>
        <v>0.23076923076923078</v>
      </c>
      <c r="NE61" s="145">
        <f t="shared" si="81"/>
        <v>8.4507042253521125E-2</v>
      </c>
      <c r="NF61" s="145">
        <f t="shared" si="81"/>
        <v>-0.44897959183673469</v>
      </c>
      <c r="NG61" s="145">
        <f t="shared" si="81"/>
        <v>0.125</v>
      </c>
      <c r="NH61" s="145">
        <f t="shared" si="81"/>
        <v>-0.80645161290322576</v>
      </c>
      <c r="NI61" s="145">
        <f t="shared" si="81"/>
        <v>0.18421052631578946</v>
      </c>
      <c r="NJ61" s="145">
        <f t="shared" si="81"/>
        <v>-0.15151515151515152</v>
      </c>
      <c r="NK61" s="145">
        <f t="shared" si="81"/>
        <v>0.4</v>
      </c>
      <c r="NL61" s="145">
        <f t="shared" si="81"/>
        <v>-0.19565217391304349</v>
      </c>
      <c r="NM61" s="145">
        <f t="shared" si="81"/>
        <v>0.17857142857142858</v>
      </c>
      <c r="NN61" s="145">
        <f t="shared" si="82"/>
        <v>1.7543859649122806E-2</v>
      </c>
      <c r="NO61" s="145">
        <f t="shared" si="82"/>
        <v>-3.6363636363636362E-2</v>
      </c>
      <c r="NP61" s="145">
        <f t="shared" si="82"/>
        <v>0</v>
      </c>
      <c r="NQ61" s="145">
        <f t="shared" si="82"/>
        <v>0.11290322580645161</v>
      </c>
      <c r="NR61" s="145">
        <f t="shared" si="82"/>
        <v>-0.9375</v>
      </c>
      <c r="NS61" s="145">
        <f t="shared" si="82"/>
        <v>0.28888888888888886</v>
      </c>
      <c r="NT61" s="145">
        <f t="shared" si="82"/>
        <v>-0.3235294117647059</v>
      </c>
      <c r="NU61" s="145">
        <f t="shared" si="82"/>
        <v>-0.17241379310344829</v>
      </c>
      <c r="NV61" s="145">
        <f t="shared" si="82"/>
        <v>0.21621621621621623</v>
      </c>
      <c r="NW61" s="145">
        <f t="shared" si="82"/>
        <v>-0.32142857142857145</v>
      </c>
      <c r="NX61" s="145">
        <f t="shared" si="83"/>
        <v>-7.6923076923076927E-2</v>
      </c>
      <c r="NY61" s="145">
        <f t="shared" si="83"/>
        <v>3.7037037037037035E-2</v>
      </c>
      <c r="NZ61" s="145">
        <f t="shared" si="83"/>
        <v>0.37209302325581395</v>
      </c>
      <c r="OA61" s="145">
        <f t="shared" si="83"/>
        <v>6.5217391304347824E-2</v>
      </c>
      <c r="OB61" s="145">
        <f t="shared" si="83"/>
        <v>0.19298245614035087</v>
      </c>
      <c r="OC61" s="145">
        <f t="shared" si="83"/>
        <v>-0.11764705882352941</v>
      </c>
      <c r="OD61" s="145">
        <f t="shared" si="83"/>
        <v>-0.5</v>
      </c>
      <c r="OE61" s="145">
        <f t="shared" si="83"/>
        <v>0.17073170731707318</v>
      </c>
      <c r="OF61" s="145">
        <f t="shared" si="83"/>
        <v>-0.24242424242424243</v>
      </c>
      <c r="OG61" s="145">
        <f t="shared" si="83"/>
        <v>-0.22222222222222221</v>
      </c>
      <c r="OH61" s="145">
        <f t="shared" si="83"/>
        <v>0.1</v>
      </c>
      <c r="OI61" s="145">
        <f t="shared" si="83"/>
        <v>0.21052631578947367</v>
      </c>
      <c r="OJ61" s="145">
        <f t="shared" si="83"/>
        <v>-0.22580645161290322</v>
      </c>
      <c r="OK61" s="145">
        <f t="shared" si="83"/>
        <v>0.41509433962264153</v>
      </c>
      <c r="OL61" s="145">
        <f t="shared" si="83"/>
        <v>-0.1276595744680851</v>
      </c>
    </row>
    <row r="62" spans="1:402" s="145" customFormat="1" ht="19.5" customHeight="1" x14ac:dyDescent="0.35">
      <c r="A62" s="12" t="s">
        <v>34</v>
      </c>
      <c r="B62" s="156">
        <v>10</v>
      </c>
      <c r="C62" s="156">
        <v>11</v>
      </c>
      <c r="D62" s="156">
        <v>5</v>
      </c>
      <c r="E62" s="156">
        <v>17</v>
      </c>
      <c r="F62" s="156">
        <f>'[1]Jan 08'!C27</f>
        <v>11</v>
      </c>
      <c r="G62" s="143">
        <f>'[1]Feb 08'!C27</f>
        <v>6</v>
      </c>
      <c r="H62" s="143">
        <f>'[1]Mar 08'!C27</f>
        <v>7</v>
      </c>
      <c r="I62" s="143">
        <v>8</v>
      </c>
      <c r="J62" s="143">
        <f>'[1]May 08'!C27</f>
        <v>17</v>
      </c>
      <c r="K62" s="143">
        <f>'[1]Jun 08'!C27</f>
        <v>22</v>
      </c>
      <c r="L62" s="143">
        <f>'[1]Jul 08'!C27</f>
        <v>15</v>
      </c>
      <c r="M62" s="143">
        <f>'[1]Aug 08'!C27</f>
        <v>19</v>
      </c>
      <c r="N62" s="143">
        <v>10</v>
      </c>
      <c r="O62" s="143">
        <v>18</v>
      </c>
      <c r="P62" s="143">
        <v>9</v>
      </c>
      <c r="Q62" s="143">
        <v>24</v>
      </c>
      <c r="R62" s="143">
        <v>20</v>
      </c>
      <c r="S62" s="143">
        <v>8</v>
      </c>
      <c r="T62" s="143">
        <v>9</v>
      </c>
      <c r="U62" s="143">
        <v>9</v>
      </c>
      <c r="V62" s="143">
        <v>12</v>
      </c>
      <c r="W62" s="143">
        <v>20</v>
      </c>
      <c r="X62" s="143">
        <v>13</v>
      </c>
      <c r="Y62" s="143">
        <v>5</v>
      </c>
      <c r="Z62" s="143">
        <v>10</v>
      </c>
      <c r="AA62" s="143">
        <v>12</v>
      </c>
      <c r="AB62" s="143">
        <v>5</v>
      </c>
      <c r="AC62" s="143">
        <v>9</v>
      </c>
      <c r="AD62" s="143">
        <v>6</v>
      </c>
      <c r="AE62" s="143">
        <v>3</v>
      </c>
      <c r="AF62" s="143">
        <v>8</v>
      </c>
      <c r="AG62" s="143">
        <v>9</v>
      </c>
      <c r="AH62" s="143">
        <v>10</v>
      </c>
      <c r="AI62" s="143">
        <v>13</v>
      </c>
      <c r="AJ62" s="143">
        <v>7</v>
      </c>
      <c r="AK62" s="143">
        <v>4</v>
      </c>
      <c r="AL62" s="143">
        <v>3</v>
      </c>
      <c r="AM62" s="143">
        <v>9</v>
      </c>
      <c r="AN62" s="143">
        <v>3</v>
      </c>
      <c r="AO62" s="143">
        <v>8</v>
      </c>
      <c r="AP62" s="143">
        <v>6</v>
      </c>
      <c r="AQ62" s="143">
        <v>2</v>
      </c>
      <c r="AR62" s="143">
        <v>4</v>
      </c>
      <c r="AS62" s="143">
        <v>6</v>
      </c>
      <c r="AT62" s="143">
        <v>9</v>
      </c>
      <c r="AU62" s="143">
        <v>9</v>
      </c>
      <c r="AV62" s="143">
        <v>2</v>
      </c>
      <c r="AW62" s="143">
        <v>6</v>
      </c>
      <c r="AX62" s="143">
        <v>2</v>
      </c>
      <c r="AY62" s="143">
        <v>4</v>
      </c>
      <c r="AZ62" s="143">
        <v>4</v>
      </c>
      <c r="BA62" s="143">
        <v>1</v>
      </c>
      <c r="BB62" s="143">
        <v>5</v>
      </c>
      <c r="BC62" s="143">
        <v>1</v>
      </c>
      <c r="BD62" s="143">
        <v>2</v>
      </c>
      <c r="BE62" s="143">
        <v>3</v>
      </c>
      <c r="BF62" s="143">
        <v>10</v>
      </c>
      <c r="BG62" s="143">
        <v>4</v>
      </c>
      <c r="BH62" s="143">
        <v>3</v>
      </c>
      <c r="BI62" s="143">
        <v>4</v>
      </c>
      <c r="BJ62" s="143">
        <v>4</v>
      </c>
      <c r="BK62" s="143">
        <v>4</v>
      </c>
      <c r="BL62" s="143">
        <v>1</v>
      </c>
      <c r="BM62" s="143">
        <v>3</v>
      </c>
      <c r="BN62" s="143">
        <v>0</v>
      </c>
      <c r="BO62" s="143">
        <v>2</v>
      </c>
      <c r="BP62" s="143">
        <v>2</v>
      </c>
      <c r="BQ62" s="143">
        <v>3</v>
      </c>
      <c r="BR62" s="143">
        <v>8</v>
      </c>
      <c r="BS62" s="143">
        <v>8</v>
      </c>
      <c r="BT62" s="143">
        <v>3</v>
      </c>
      <c r="BU62" s="143">
        <v>1</v>
      </c>
      <c r="BV62" s="143">
        <v>1</v>
      </c>
      <c r="BW62" s="143">
        <v>2</v>
      </c>
      <c r="BX62" s="143">
        <v>4</v>
      </c>
      <c r="BY62" s="143">
        <v>5</v>
      </c>
      <c r="BZ62" s="143">
        <v>4</v>
      </c>
      <c r="CA62" s="143">
        <v>3</v>
      </c>
      <c r="CB62" s="143">
        <v>3</v>
      </c>
      <c r="CC62" s="143">
        <v>4</v>
      </c>
      <c r="CD62" s="143">
        <v>9</v>
      </c>
      <c r="CE62" s="143">
        <v>11</v>
      </c>
      <c r="CF62" s="143">
        <v>7</v>
      </c>
      <c r="CG62" s="143">
        <v>3</v>
      </c>
      <c r="CH62" s="143">
        <v>4</v>
      </c>
      <c r="CI62" s="143">
        <v>1</v>
      </c>
      <c r="CJ62" s="143">
        <v>3</v>
      </c>
      <c r="CK62" s="143">
        <v>3</v>
      </c>
      <c r="CL62" s="143">
        <v>1</v>
      </c>
      <c r="CM62" s="143">
        <v>2</v>
      </c>
      <c r="CN62" s="143">
        <v>6</v>
      </c>
      <c r="CO62" s="143">
        <v>5</v>
      </c>
      <c r="CP62" s="143">
        <v>10</v>
      </c>
      <c r="CQ62" s="143">
        <v>9</v>
      </c>
      <c r="CR62" s="143">
        <v>1</v>
      </c>
      <c r="CS62" s="143">
        <v>3</v>
      </c>
      <c r="CT62" s="143">
        <v>5</v>
      </c>
      <c r="CU62" s="143">
        <v>1</v>
      </c>
      <c r="CV62" s="143">
        <v>4</v>
      </c>
      <c r="CW62" s="143">
        <v>6</v>
      </c>
      <c r="CX62" s="143">
        <v>3</v>
      </c>
      <c r="CY62" s="143">
        <v>2</v>
      </c>
      <c r="CZ62" s="143">
        <v>1</v>
      </c>
      <c r="DA62" s="143">
        <v>6</v>
      </c>
      <c r="DB62" s="143">
        <v>8</v>
      </c>
      <c r="DC62" s="143">
        <v>6</v>
      </c>
      <c r="DD62" s="143">
        <v>7</v>
      </c>
      <c r="DE62" s="143">
        <v>2</v>
      </c>
      <c r="DF62" s="143">
        <v>3</v>
      </c>
      <c r="DG62" s="143">
        <v>1</v>
      </c>
      <c r="DH62" s="143">
        <v>2</v>
      </c>
      <c r="DI62" s="143">
        <v>5</v>
      </c>
      <c r="DJ62" s="143">
        <v>2</v>
      </c>
      <c r="DK62" s="143">
        <v>3</v>
      </c>
      <c r="DL62" s="143">
        <v>2</v>
      </c>
      <c r="DM62" s="143">
        <v>2</v>
      </c>
      <c r="DN62" s="143">
        <v>14</v>
      </c>
      <c r="DO62" s="143">
        <v>11</v>
      </c>
      <c r="DP62" s="143">
        <v>8</v>
      </c>
      <c r="DQ62" s="143">
        <v>3</v>
      </c>
      <c r="DR62" s="143">
        <v>2</v>
      </c>
      <c r="DS62" s="143">
        <v>1</v>
      </c>
      <c r="DT62" s="143">
        <v>3</v>
      </c>
      <c r="DU62" s="143">
        <v>7</v>
      </c>
      <c r="DV62" s="143">
        <v>3</v>
      </c>
      <c r="DW62" s="143">
        <v>4</v>
      </c>
      <c r="DX62" s="143">
        <v>3</v>
      </c>
      <c r="DY62" s="143">
        <v>8</v>
      </c>
      <c r="DZ62" s="143">
        <v>14</v>
      </c>
      <c r="EA62" s="143">
        <v>16</v>
      </c>
      <c r="EB62" s="143">
        <v>6</v>
      </c>
      <c r="EC62" s="143">
        <v>5</v>
      </c>
      <c r="ED62" s="143">
        <v>3</v>
      </c>
      <c r="EE62" s="143">
        <v>6</v>
      </c>
      <c r="EF62" s="143">
        <v>2</v>
      </c>
      <c r="EG62" s="143">
        <v>10</v>
      </c>
      <c r="EH62" s="143">
        <v>1</v>
      </c>
      <c r="EI62" s="143">
        <v>4</v>
      </c>
      <c r="EJ62" s="143">
        <v>5</v>
      </c>
      <c r="EK62" s="143">
        <v>7</v>
      </c>
      <c r="EL62" s="143">
        <v>6</v>
      </c>
      <c r="EM62" s="143">
        <v>14</v>
      </c>
      <c r="EN62" s="143">
        <v>8</v>
      </c>
      <c r="EO62" s="143">
        <v>2</v>
      </c>
      <c r="EP62" s="143">
        <v>5</v>
      </c>
      <c r="EQ62" s="143">
        <v>5</v>
      </c>
      <c r="ER62" s="143">
        <v>1</v>
      </c>
      <c r="ES62" s="143">
        <v>7</v>
      </c>
      <c r="ET62" s="143">
        <v>5</v>
      </c>
      <c r="EU62" s="143">
        <v>0</v>
      </c>
      <c r="EV62" s="143">
        <v>4</v>
      </c>
      <c r="EW62" s="143">
        <v>3</v>
      </c>
      <c r="EX62" s="143">
        <v>3</v>
      </c>
      <c r="EY62" s="143">
        <v>1</v>
      </c>
      <c r="EZ62" s="143">
        <v>1</v>
      </c>
      <c r="FA62" s="143">
        <v>1</v>
      </c>
      <c r="FB62" s="143">
        <v>6</v>
      </c>
      <c r="FC62" s="143">
        <v>1</v>
      </c>
      <c r="FD62" s="143">
        <v>3</v>
      </c>
      <c r="FE62" s="143">
        <v>1</v>
      </c>
      <c r="FF62" s="143">
        <v>0</v>
      </c>
      <c r="FG62" s="143">
        <v>2</v>
      </c>
      <c r="FH62" s="143">
        <v>0</v>
      </c>
      <c r="FI62" s="143">
        <v>1</v>
      </c>
      <c r="FJ62" s="143">
        <v>1</v>
      </c>
      <c r="FK62" s="143">
        <v>0</v>
      </c>
      <c r="FL62" s="143">
        <v>2</v>
      </c>
      <c r="FM62" s="143">
        <v>0</v>
      </c>
      <c r="FN62" s="143">
        <v>1</v>
      </c>
      <c r="FO62" s="143">
        <v>4</v>
      </c>
      <c r="FP62" s="143">
        <v>2</v>
      </c>
      <c r="FQ62" s="143">
        <v>2</v>
      </c>
      <c r="FR62" s="143">
        <v>1</v>
      </c>
      <c r="FS62" s="143">
        <v>0</v>
      </c>
      <c r="FT62" s="143">
        <v>2</v>
      </c>
      <c r="FU62" s="143">
        <v>3</v>
      </c>
      <c r="FV62" s="143">
        <v>2</v>
      </c>
      <c r="FW62" s="143">
        <v>4</v>
      </c>
      <c r="FX62" s="143">
        <v>6</v>
      </c>
      <c r="FY62" s="143">
        <v>5</v>
      </c>
      <c r="FZ62" s="143">
        <v>4</v>
      </c>
      <c r="GA62" s="143">
        <v>6</v>
      </c>
      <c r="GB62" s="143">
        <v>4</v>
      </c>
      <c r="GC62" s="143">
        <v>15</v>
      </c>
      <c r="GD62" s="143">
        <v>5</v>
      </c>
      <c r="GE62" s="143">
        <v>2</v>
      </c>
      <c r="GF62" s="143">
        <v>2</v>
      </c>
      <c r="GG62" s="143">
        <v>5</v>
      </c>
      <c r="GH62" s="143">
        <v>5</v>
      </c>
      <c r="GI62" s="143">
        <v>5</v>
      </c>
      <c r="GJ62" s="143">
        <v>1</v>
      </c>
      <c r="GK62" s="143">
        <v>3</v>
      </c>
      <c r="GL62" s="143">
        <v>3</v>
      </c>
      <c r="GM62" s="143">
        <v>4</v>
      </c>
      <c r="GN62" s="143">
        <v>1</v>
      </c>
      <c r="GO62" s="143">
        <v>12</v>
      </c>
      <c r="GP62" s="143">
        <v>4</v>
      </c>
      <c r="GQ62" s="143">
        <v>1</v>
      </c>
      <c r="GR62" s="143">
        <v>4</v>
      </c>
      <c r="GS62" s="143">
        <f>SUM(B62:GR62)/198</f>
        <v>5.4141414141414144</v>
      </c>
      <c r="GT62" s="152"/>
      <c r="GU62" s="12" t="s">
        <v>34</v>
      </c>
      <c r="GV62" s="145" t="s">
        <v>30</v>
      </c>
      <c r="GW62" s="145">
        <f t="shared" si="88"/>
        <v>0.1</v>
      </c>
      <c r="GX62" s="145">
        <f t="shared" si="88"/>
        <v>-0.54545454545454541</v>
      </c>
      <c r="GY62" s="145">
        <f t="shared" si="88"/>
        <v>2.4</v>
      </c>
      <c r="GZ62" s="145">
        <f t="shared" si="88"/>
        <v>-0.35294117647058826</v>
      </c>
      <c r="HA62" s="145">
        <f t="shared" si="88"/>
        <v>-0.45454545454545453</v>
      </c>
      <c r="HB62" s="145">
        <f t="shared" si="88"/>
        <v>0.16666666666666666</v>
      </c>
      <c r="HC62" s="145">
        <f t="shared" si="88"/>
        <v>0.14285714285714285</v>
      </c>
      <c r="HD62" s="145">
        <f t="shared" si="88"/>
        <v>1.125</v>
      </c>
      <c r="HE62" s="145">
        <f t="shared" si="88"/>
        <v>0.29411764705882354</v>
      </c>
      <c r="HF62" s="145">
        <f t="shared" si="88"/>
        <v>-0.31818181818181818</v>
      </c>
      <c r="HG62" s="145">
        <f t="shared" si="89"/>
        <v>0.26666666666666666</v>
      </c>
      <c r="HH62" s="145">
        <f t="shared" si="89"/>
        <v>-0.47368421052631576</v>
      </c>
      <c r="HI62" s="145">
        <f t="shared" si="89"/>
        <v>0.8</v>
      </c>
      <c r="HJ62" s="145">
        <f t="shared" si="89"/>
        <v>-0.5</v>
      </c>
      <c r="HK62" s="145">
        <f t="shared" si="89"/>
        <v>1.6666666666666667</v>
      </c>
      <c r="HL62" s="145">
        <f t="shared" si="89"/>
        <v>-0.16666666666666666</v>
      </c>
      <c r="HM62" s="145">
        <f t="shared" si="89"/>
        <v>-0.6</v>
      </c>
      <c r="HN62" s="145">
        <f t="shared" si="89"/>
        <v>0.125</v>
      </c>
      <c r="HO62" s="145">
        <f t="shared" si="89"/>
        <v>0</v>
      </c>
      <c r="HP62" s="145">
        <f t="shared" si="89"/>
        <v>0.33333333333333331</v>
      </c>
      <c r="HQ62" s="145">
        <f t="shared" si="90"/>
        <v>0.66666666666666663</v>
      </c>
      <c r="HR62" s="145">
        <f t="shared" si="90"/>
        <v>-0.35</v>
      </c>
      <c r="HS62" s="145">
        <f t="shared" si="90"/>
        <v>-0.61538461538461542</v>
      </c>
      <c r="HT62" s="145">
        <f t="shared" si="90"/>
        <v>1</v>
      </c>
      <c r="HU62" s="145">
        <f t="shared" si="90"/>
        <v>0.2</v>
      </c>
      <c r="HV62" s="145">
        <f t="shared" si="90"/>
        <v>-0.58333333333333337</v>
      </c>
      <c r="HW62" s="145">
        <f t="shared" si="90"/>
        <v>0.8</v>
      </c>
      <c r="HX62" s="145">
        <f t="shared" si="90"/>
        <v>-0.33333333333333331</v>
      </c>
      <c r="HY62" s="145">
        <f t="shared" si="90"/>
        <v>-0.5</v>
      </c>
      <c r="HZ62" s="145">
        <f t="shared" si="90"/>
        <v>1.6666666666666667</v>
      </c>
      <c r="IA62" s="145">
        <f t="shared" si="91"/>
        <v>0.125</v>
      </c>
      <c r="IB62" s="145">
        <f t="shared" si="91"/>
        <v>0.1111111111111111</v>
      </c>
      <c r="IC62" s="145">
        <f t="shared" si="91"/>
        <v>0.3</v>
      </c>
      <c r="ID62" s="145">
        <f t="shared" si="91"/>
        <v>-0.46153846153846156</v>
      </c>
      <c r="IE62" s="145">
        <f t="shared" si="91"/>
        <v>-0.42857142857142855</v>
      </c>
      <c r="IF62" s="145">
        <f t="shared" si="91"/>
        <v>-0.25</v>
      </c>
      <c r="IG62" s="145">
        <f t="shared" si="91"/>
        <v>2</v>
      </c>
      <c r="IH62" s="145">
        <f t="shared" si="91"/>
        <v>-0.66666666666666663</v>
      </c>
      <c r="II62" s="145">
        <f t="shared" si="91"/>
        <v>1.6666666666666667</v>
      </c>
      <c r="IJ62" s="145">
        <f t="shared" si="91"/>
        <v>-0.25</v>
      </c>
      <c r="IK62" s="145">
        <f t="shared" si="92"/>
        <v>-0.66666666666666663</v>
      </c>
      <c r="IL62" s="145">
        <f t="shared" si="92"/>
        <v>1</v>
      </c>
      <c r="IM62" s="145">
        <f t="shared" si="92"/>
        <v>0.5</v>
      </c>
      <c r="IN62" s="145">
        <f t="shared" si="92"/>
        <v>0.5</v>
      </c>
      <c r="IO62" s="145">
        <f t="shared" si="92"/>
        <v>0</v>
      </c>
      <c r="IP62" s="145">
        <f t="shared" si="92"/>
        <v>-0.77777777777777779</v>
      </c>
      <c r="IQ62" s="145">
        <f t="shared" si="92"/>
        <v>2</v>
      </c>
      <c r="IR62" s="145">
        <f t="shared" si="92"/>
        <v>-0.66666666666666663</v>
      </c>
      <c r="IS62" s="145">
        <f t="shared" si="92"/>
        <v>1</v>
      </c>
      <c r="IT62" s="145">
        <f t="shared" si="92"/>
        <v>0</v>
      </c>
      <c r="IU62" s="145">
        <f t="shared" si="93"/>
        <v>-0.75</v>
      </c>
      <c r="IV62" s="145">
        <f t="shared" si="93"/>
        <v>4</v>
      </c>
      <c r="IW62" s="145">
        <f t="shared" si="93"/>
        <v>-0.8</v>
      </c>
      <c r="IX62" s="145">
        <f t="shared" si="93"/>
        <v>1</v>
      </c>
      <c r="IY62" s="145">
        <f t="shared" si="93"/>
        <v>0.5</v>
      </c>
      <c r="IZ62" s="145">
        <f t="shared" si="93"/>
        <v>2.3333333333333335</v>
      </c>
      <c r="JA62" s="145">
        <f t="shared" si="93"/>
        <v>-0.6</v>
      </c>
      <c r="JB62" s="145">
        <f t="shared" si="93"/>
        <v>-0.25</v>
      </c>
      <c r="JC62" s="145">
        <f t="shared" si="93"/>
        <v>0.33333333333333331</v>
      </c>
      <c r="JD62" s="145">
        <f t="shared" si="93"/>
        <v>0</v>
      </c>
      <c r="JE62" s="145">
        <f t="shared" si="94"/>
        <v>0</v>
      </c>
      <c r="JF62" s="145">
        <f t="shared" si="94"/>
        <v>-0.75</v>
      </c>
      <c r="JG62" s="145">
        <f t="shared" si="94"/>
        <v>2</v>
      </c>
      <c r="JH62" s="145">
        <f t="shared" si="94"/>
        <v>-1</v>
      </c>
      <c r="JI62" s="145" t="e">
        <f t="shared" si="94"/>
        <v>#DIV/0!</v>
      </c>
      <c r="JJ62" s="145">
        <f t="shared" si="94"/>
        <v>0</v>
      </c>
      <c r="JK62" s="145">
        <f t="shared" si="94"/>
        <v>0.5</v>
      </c>
      <c r="JL62" s="145">
        <f t="shared" si="94"/>
        <v>1.6666666666666667</v>
      </c>
      <c r="JM62" s="145">
        <f t="shared" si="94"/>
        <v>0</v>
      </c>
      <c r="JN62" s="145">
        <f t="shared" si="94"/>
        <v>-0.625</v>
      </c>
      <c r="JO62" s="145">
        <f t="shared" si="95"/>
        <v>-0.66666666666666663</v>
      </c>
      <c r="JP62" s="145">
        <f t="shared" si="95"/>
        <v>0</v>
      </c>
      <c r="JQ62" s="145">
        <f t="shared" si="95"/>
        <v>1</v>
      </c>
      <c r="JR62" s="145">
        <f t="shared" si="95"/>
        <v>1</v>
      </c>
      <c r="JS62" s="145">
        <f t="shared" si="95"/>
        <v>0.25</v>
      </c>
      <c r="JT62" s="145">
        <f t="shared" si="95"/>
        <v>-0.2</v>
      </c>
      <c r="JU62" s="145">
        <f t="shared" si="95"/>
        <v>-0.25</v>
      </c>
      <c r="JV62" s="145">
        <f t="shared" si="95"/>
        <v>0</v>
      </c>
      <c r="JW62" s="145">
        <f t="shared" si="95"/>
        <v>0.33333333333333331</v>
      </c>
      <c r="JX62" s="145">
        <f t="shared" si="95"/>
        <v>1.25</v>
      </c>
      <c r="JY62" s="145">
        <f t="shared" si="96"/>
        <v>0.22222222222222221</v>
      </c>
      <c r="JZ62" s="145">
        <f t="shared" si="96"/>
        <v>-0.36363636363636365</v>
      </c>
      <c r="KA62" s="145">
        <f t="shared" si="96"/>
        <v>-0.5714285714285714</v>
      </c>
      <c r="KB62" s="145">
        <f t="shared" si="96"/>
        <v>0.33333333333333331</v>
      </c>
      <c r="KC62" s="145">
        <f t="shared" si="96"/>
        <v>-0.75</v>
      </c>
      <c r="KD62" s="145">
        <f t="shared" si="96"/>
        <v>2</v>
      </c>
      <c r="KE62" s="145">
        <f t="shared" si="96"/>
        <v>0</v>
      </c>
      <c r="KF62" s="145">
        <f t="shared" si="96"/>
        <v>-0.66666666666666663</v>
      </c>
      <c r="KG62" s="145">
        <f t="shared" si="96"/>
        <v>1</v>
      </c>
      <c r="KH62" s="145">
        <f t="shared" si="96"/>
        <v>2</v>
      </c>
      <c r="KI62" s="145">
        <f t="shared" si="97"/>
        <v>-0.16666666666666666</v>
      </c>
      <c r="KJ62" s="145">
        <f t="shared" si="97"/>
        <v>1</v>
      </c>
      <c r="KK62" s="145">
        <f t="shared" si="97"/>
        <v>-0.1</v>
      </c>
      <c r="KL62" s="145">
        <f t="shared" si="97"/>
        <v>-0.88888888888888884</v>
      </c>
      <c r="KM62" s="145">
        <f t="shared" si="97"/>
        <v>2</v>
      </c>
      <c r="KN62" s="145">
        <f t="shared" si="97"/>
        <v>0.66666666666666663</v>
      </c>
      <c r="KO62" s="145">
        <f t="shared" si="97"/>
        <v>-0.8</v>
      </c>
      <c r="KP62" s="145">
        <f t="shared" si="97"/>
        <v>3</v>
      </c>
      <c r="KQ62" s="145">
        <f t="shared" si="97"/>
        <v>0.5</v>
      </c>
      <c r="KR62" s="145">
        <f t="shared" si="97"/>
        <v>-0.5</v>
      </c>
      <c r="KS62" s="145">
        <f t="shared" si="98"/>
        <v>-0.33333333333333331</v>
      </c>
      <c r="KT62" s="145">
        <f t="shared" si="98"/>
        <v>-0.5</v>
      </c>
      <c r="KU62" s="145">
        <f t="shared" si="98"/>
        <v>5</v>
      </c>
      <c r="KV62" s="145">
        <f t="shared" si="98"/>
        <v>0.33333333333333331</v>
      </c>
      <c r="KW62" s="145">
        <f t="shared" si="98"/>
        <v>-0.25</v>
      </c>
      <c r="KX62" s="145">
        <f t="shared" si="98"/>
        <v>0.16666666666666666</v>
      </c>
      <c r="KY62" s="145">
        <f t="shared" si="98"/>
        <v>-0.7142857142857143</v>
      </c>
      <c r="KZ62" s="145">
        <f t="shared" si="98"/>
        <v>0.5</v>
      </c>
      <c r="LA62" s="145">
        <f t="shared" si="98"/>
        <v>-0.66666666666666663</v>
      </c>
      <c r="LB62" s="145">
        <f t="shared" si="98"/>
        <v>1</v>
      </c>
      <c r="LC62" s="145">
        <f t="shared" si="99"/>
        <v>1.5</v>
      </c>
      <c r="LD62" s="145">
        <f t="shared" si="99"/>
        <v>-0.6</v>
      </c>
      <c r="LE62" s="145">
        <f t="shared" si="84"/>
        <v>0.5</v>
      </c>
      <c r="LF62" s="145">
        <f t="shared" si="84"/>
        <v>-0.33333333333333331</v>
      </c>
      <c r="LG62" s="145">
        <f t="shared" si="84"/>
        <v>0</v>
      </c>
      <c r="LH62" s="145">
        <f t="shared" si="84"/>
        <v>6</v>
      </c>
      <c r="LI62" s="145">
        <f t="shared" si="84"/>
        <v>-0.21428571428571427</v>
      </c>
      <c r="LJ62" s="145">
        <f t="shared" si="84"/>
        <v>-0.27272727272727271</v>
      </c>
      <c r="LK62" s="145">
        <f t="shared" si="84"/>
        <v>-0.625</v>
      </c>
      <c r="LL62" s="145">
        <f t="shared" si="84"/>
        <v>-0.33333333333333331</v>
      </c>
      <c r="LM62" s="145">
        <f t="shared" si="84"/>
        <v>-0.5</v>
      </c>
      <c r="LN62" s="145">
        <f t="shared" si="84"/>
        <v>2</v>
      </c>
      <c r="LO62" s="145">
        <f t="shared" si="85"/>
        <v>1.3333333333333333</v>
      </c>
      <c r="LP62" s="145">
        <f t="shared" si="85"/>
        <v>-0.5714285714285714</v>
      </c>
      <c r="LQ62" s="145">
        <f t="shared" si="85"/>
        <v>0.33333333333333331</v>
      </c>
      <c r="LR62" s="145">
        <f t="shared" si="85"/>
        <v>-0.25</v>
      </c>
      <c r="LS62" s="145">
        <f t="shared" si="85"/>
        <v>1.6666666666666667</v>
      </c>
      <c r="LT62" s="145">
        <f t="shared" si="85"/>
        <v>0.75</v>
      </c>
      <c r="LU62" s="145">
        <f t="shared" si="85"/>
        <v>0.14285714285714285</v>
      </c>
      <c r="LV62" s="145">
        <f t="shared" si="85"/>
        <v>-0.625</v>
      </c>
      <c r="LW62" s="145">
        <f t="shared" si="85"/>
        <v>-0.16666666666666666</v>
      </c>
      <c r="LX62" s="145">
        <f t="shared" si="85"/>
        <v>-0.4</v>
      </c>
      <c r="LY62" s="145">
        <f t="shared" si="86"/>
        <v>1</v>
      </c>
      <c r="LZ62" s="145">
        <f t="shared" si="86"/>
        <v>-0.66666666666666663</v>
      </c>
      <c r="MA62" s="145">
        <f t="shared" si="86"/>
        <v>4</v>
      </c>
      <c r="MB62" s="145">
        <f t="shared" si="86"/>
        <v>-0.9</v>
      </c>
      <c r="MC62" s="145">
        <f t="shared" si="86"/>
        <v>3</v>
      </c>
      <c r="MD62" s="145">
        <f t="shared" si="86"/>
        <v>0.25</v>
      </c>
      <c r="ME62" s="145">
        <f t="shared" si="86"/>
        <v>0.4</v>
      </c>
      <c r="MF62" s="145">
        <f t="shared" si="86"/>
        <v>-0.14285714285714285</v>
      </c>
      <c r="MG62" s="145">
        <f t="shared" si="86"/>
        <v>1.3333333333333333</v>
      </c>
      <c r="MH62" s="145">
        <f t="shared" si="86"/>
        <v>-0.42857142857142855</v>
      </c>
      <c r="MI62" s="145">
        <f t="shared" si="87"/>
        <v>-0.75</v>
      </c>
      <c r="MJ62" s="145">
        <f t="shared" si="87"/>
        <v>1.5</v>
      </c>
      <c r="MK62" s="145">
        <f t="shared" si="87"/>
        <v>0</v>
      </c>
      <c r="ML62" s="145">
        <f t="shared" si="87"/>
        <v>-0.8</v>
      </c>
      <c r="MM62" s="145">
        <f t="shared" si="87"/>
        <v>6</v>
      </c>
      <c r="MN62" s="145">
        <f t="shared" si="87"/>
        <v>-0.2857142857142857</v>
      </c>
      <c r="MO62" s="145">
        <f t="shared" si="87"/>
        <v>-1</v>
      </c>
      <c r="MP62" s="145" t="e">
        <f t="shared" si="87"/>
        <v>#DIV/0!</v>
      </c>
      <c r="MQ62" s="145">
        <f t="shared" si="87"/>
        <v>-0.25</v>
      </c>
      <c r="MR62" s="145">
        <f t="shared" si="87"/>
        <v>0</v>
      </c>
      <c r="MS62" s="145">
        <f>(EZ62-EY62)/EY62</f>
        <v>0</v>
      </c>
      <c r="MT62" s="145">
        <f t="shared" si="80"/>
        <v>0</v>
      </c>
      <c r="MU62" s="145">
        <f t="shared" si="80"/>
        <v>0</v>
      </c>
      <c r="MV62" s="145">
        <f t="shared" si="80"/>
        <v>0.83333333333333337</v>
      </c>
      <c r="MW62" s="145">
        <f t="shared" si="80"/>
        <v>-5</v>
      </c>
      <c r="MX62" s="145">
        <f t="shared" si="80"/>
        <v>0.66666666666666663</v>
      </c>
      <c r="MY62" s="145">
        <f t="shared" si="80"/>
        <v>-2</v>
      </c>
      <c r="MZ62" s="145" t="e">
        <f t="shared" si="80"/>
        <v>#DIV/0!</v>
      </c>
      <c r="NA62" s="145">
        <f t="shared" si="80"/>
        <v>1</v>
      </c>
      <c r="NB62" s="145" t="e">
        <f t="shared" si="80"/>
        <v>#DIV/0!</v>
      </c>
      <c r="NC62" s="145">
        <f t="shared" si="80"/>
        <v>1</v>
      </c>
      <c r="ND62" s="145">
        <f t="shared" si="81"/>
        <v>0</v>
      </c>
      <c r="NE62" s="145" t="e">
        <f t="shared" si="81"/>
        <v>#DIV/0!</v>
      </c>
      <c r="NF62" s="145">
        <f t="shared" si="81"/>
        <v>1</v>
      </c>
      <c r="NG62" s="145" t="e">
        <f t="shared" si="81"/>
        <v>#DIV/0!</v>
      </c>
      <c r="NH62" s="145">
        <f t="shared" si="81"/>
        <v>1</v>
      </c>
      <c r="NI62" s="145">
        <f t="shared" si="81"/>
        <v>0.75</v>
      </c>
      <c r="NJ62" s="145">
        <f t="shared" si="81"/>
        <v>-1</v>
      </c>
      <c r="NK62" s="145">
        <f t="shared" si="81"/>
        <v>0</v>
      </c>
      <c r="NL62" s="145">
        <f t="shared" si="81"/>
        <v>-1</v>
      </c>
      <c r="NM62" s="145" t="e">
        <f t="shared" si="81"/>
        <v>#DIV/0!</v>
      </c>
      <c r="NN62" s="145">
        <f t="shared" si="82"/>
        <v>1</v>
      </c>
      <c r="NO62" s="145">
        <f t="shared" si="82"/>
        <v>0.33333333333333331</v>
      </c>
      <c r="NP62" s="145">
        <f t="shared" si="82"/>
        <v>-0.5</v>
      </c>
      <c r="NQ62" s="145">
        <f t="shared" si="82"/>
        <v>0.5</v>
      </c>
      <c r="NR62" s="145">
        <f t="shared" si="82"/>
        <v>0.33333333333333331</v>
      </c>
      <c r="NS62" s="145">
        <f t="shared" si="82"/>
        <v>-0.2</v>
      </c>
      <c r="NT62" s="145">
        <f t="shared" si="82"/>
        <v>-0.25</v>
      </c>
      <c r="NU62" s="145">
        <f t="shared" si="82"/>
        <v>0.33333333333333331</v>
      </c>
      <c r="NV62" s="145">
        <f t="shared" si="82"/>
        <v>-0.5</v>
      </c>
      <c r="NW62" s="145">
        <f t="shared" si="82"/>
        <v>0.73333333333333328</v>
      </c>
      <c r="NX62" s="145">
        <f t="shared" si="83"/>
        <v>-2</v>
      </c>
      <c r="NY62" s="145">
        <f t="shared" si="83"/>
        <v>-1.5</v>
      </c>
      <c r="NZ62" s="145">
        <f t="shared" si="83"/>
        <v>0</v>
      </c>
      <c r="OA62" s="145">
        <f t="shared" si="83"/>
        <v>0.6</v>
      </c>
      <c r="OB62" s="145">
        <f t="shared" si="83"/>
        <v>0</v>
      </c>
      <c r="OC62" s="145">
        <f t="shared" si="83"/>
        <v>0</v>
      </c>
      <c r="OD62" s="145">
        <f t="shared" si="83"/>
        <v>-4</v>
      </c>
      <c r="OE62" s="145">
        <f t="shared" si="83"/>
        <v>0.66666666666666663</v>
      </c>
      <c r="OF62" s="145">
        <f t="shared" si="83"/>
        <v>0</v>
      </c>
      <c r="OG62" s="145">
        <f t="shared" si="83"/>
        <v>0.25</v>
      </c>
      <c r="OH62" s="145">
        <f t="shared" si="83"/>
        <v>-3</v>
      </c>
      <c r="OI62" s="145">
        <f t="shared" si="83"/>
        <v>0.91666666666666663</v>
      </c>
      <c r="OJ62" s="145">
        <f t="shared" si="83"/>
        <v>-2</v>
      </c>
      <c r="OK62" s="145">
        <f t="shared" si="83"/>
        <v>-3</v>
      </c>
      <c r="OL62" s="145">
        <f t="shared" si="83"/>
        <v>0.75</v>
      </c>
    </row>
    <row r="63" spans="1:402" ht="19.5" customHeight="1" x14ac:dyDescent="0.35">
      <c r="B63" s="23"/>
      <c r="C63" s="23"/>
      <c r="D63" s="23"/>
      <c r="E63" s="23"/>
      <c r="F63" s="23"/>
      <c r="G63" s="24"/>
      <c r="H63" s="24"/>
      <c r="I63" s="24"/>
      <c r="J63" s="24"/>
      <c r="GS63" s="24"/>
      <c r="GU63" s="12"/>
      <c r="GV63" s="3"/>
      <c r="GW63" s="25"/>
      <c r="GX63" s="25"/>
      <c r="GY63" s="25"/>
    </row>
    <row r="65" spans="1:402" ht="16" thickBot="1" x14ac:dyDescent="0.4">
      <c r="A65" s="12" t="s">
        <v>39</v>
      </c>
      <c r="GU65" s="12" t="s">
        <v>36</v>
      </c>
    </row>
    <row r="66" spans="1:402" x14ac:dyDescent="0.35">
      <c r="B66" s="13">
        <v>2007</v>
      </c>
      <c r="C66" s="13"/>
      <c r="D66" s="13"/>
      <c r="E66" s="14"/>
      <c r="F66" s="15">
        <v>2008</v>
      </c>
      <c r="G66" s="16"/>
      <c r="H66" s="17"/>
      <c r="I66" s="16"/>
      <c r="J66" s="16"/>
      <c r="K66" s="16"/>
      <c r="L66" s="18"/>
      <c r="M66" s="18"/>
      <c r="N66" s="18"/>
      <c r="O66" s="18"/>
      <c r="P66" s="18"/>
      <c r="Q66" s="18"/>
      <c r="R66" s="19">
        <v>2009</v>
      </c>
      <c r="S66" s="19"/>
      <c r="T66" s="19"/>
      <c r="U66" s="19"/>
      <c r="V66" s="16"/>
      <c r="W66" s="16"/>
      <c r="X66" s="16"/>
      <c r="Y66" s="16"/>
      <c r="Z66" s="16"/>
      <c r="AA66" s="16"/>
      <c r="AB66" s="16"/>
      <c r="AC66" s="16"/>
      <c r="AD66" s="19">
        <v>2010</v>
      </c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>
        <v>2011</v>
      </c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9">
        <v>2012</v>
      </c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9">
        <v>2013</v>
      </c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>
        <v>2014</v>
      </c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>
        <v>2015</v>
      </c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9">
        <v>2016</v>
      </c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9">
        <v>2017</v>
      </c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>
        <v>2018</v>
      </c>
      <c r="DW66" s="19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9">
        <v>2019</v>
      </c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9">
        <v>2020</v>
      </c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9">
        <v>2021</v>
      </c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>
        <v>2022</v>
      </c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>
        <v>2023</v>
      </c>
      <c r="GE66" s="19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9">
        <v>2024</v>
      </c>
      <c r="GQ66" s="19"/>
      <c r="GR66" s="183"/>
      <c r="GS66" s="43"/>
      <c r="GV66" s="13">
        <v>2007</v>
      </c>
      <c r="GW66" s="13"/>
      <c r="GX66" s="13"/>
      <c r="GY66" s="14"/>
      <c r="GZ66" s="15">
        <v>2008</v>
      </c>
      <c r="HA66" s="16"/>
      <c r="HB66" s="17"/>
      <c r="HC66" s="16"/>
      <c r="HD66" s="16"/>
      <c r="HE66" s="16"/>
      <c r="HF66" s="18"/>
      <c r="HG66" s="18"/>
      <c r="HH66" s="18"/>
      <c r="HI66" s="18"/>
      <c r="HJ66" s="18"/>
      <c r="HK66" s="18"/>
      <c r="HL66" s="19">
        <v>2009</v>
      </c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>
        <v>2010</v>
      </c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>
        <v>2011</v>
      </c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>
        <v>2012</v>
      </c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>
        <v>2013</v>
      </c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>
        <v>2014</v>
      </c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>
        <v>2015</v>
      </c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>
        <v>2016</v>
      </c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>
        <v>2017</v>
      </c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>
        <v>2018</v>
      </c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>
        <v>2019</v>
      </c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>
        <v>2020</v>
      </c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>
        <v>2021</v>
      </c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>
        <v>2022</v>
      </c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>
        <v>2023</v>
      </c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>
        <v>2024</v>
      </c>
      <c r="OK66" s="19"/>
      <c r="OL66" s="19"/>
    </row>
    <row r="67" spans="1:402" s="2" customFormat="1" x14ac:dyDescent="0.35">
      <c r="A67" s="26"/>
      <c r="B67" s="20" t="s">
        <v>3</v>
      </c>
      <c r="C67" s="20" t="s">
        <v>4</v>
      </c>
      <c r="D67" s="20" t="s">
        <v>5</v>
      </c>
      <c r="E67" s="20" t="s">
        <v>6</v>
      </c>
      <c r="F67" s="20" t="s">
        <v>7</v>
      </c>
      <c r="G67" s="20" t="s">
        <v>8</v>
      </c>
      <c r="H67" s="20" t="s">
        <v>9</v>
      </c>
      <c r="I67" s="20" t="s">
        <v>10</v>
      </c>
      <c r="J67" s="20" t="s">
        <v>11</v>
      </c>
      <c r="K67" s="20" t="s">
        <v>12</v>
      </c>
      <c r="L67" s="20" t="s">
        <v>13</v>
      </c>
      <c r="M67" s="20" t="s">
        <v>14</v>
      </c>
      <c r="N67" s="20" t="s">
        <v>3</v>
      </c>
      <c r="O67" s="20" t="s">
        <v>4</v>
      </c>
      <c r="P67" s="20" t="s">
        <v>5</v>
      </c>
      <c r="Q67" s="20" t="s">
        <v>15</v>
      </c>
      <c r="R67" s="22" t="s">
        <v>7</v>
      </c>
      <c r="S67" s="22" t="s">
        <v>8</v>
      </c>
      <c r="T67" s="22" t="s">
        <v>9</v>
      </c>
      <c r="U67" s="22" t="s">
        <v>10</v>
      </c>
      <c r="V67" s="22" t="s">
        <v>11</v>
      </c>
      <c r="W67" s="22" t="s">
        <v>12</v>
      </c>
      <c r="X67" s="22" t="s">
        <v>13</v>
      </c>
      <c r="Y67" s="22" t="s">
        <v>14</v>
      </c>
      <c r="Z67" s="22" t="s">
        <v>16</v>
      </c>
      <c r="AA67" s="22" t="s">
        <v>4</v>
      </c>
      <c r="AB67" s="22" t="s">
        <v>5</v>
      </c>
      <c r="AC67" s="22" t="s">
        <v>6</v>
      </c>
      <c r="AD67" s="22" t="s">
        <v>17</v>
      </c>
      <c r="AE67" s="22" t="s">
        <v>8</v>
      </c>
      <c r="AF67" s="22" t="s">
        <v>18</v>
      </c>
      <c r="AG67" s="22" t="s">
        <v>10</v>
      </c>
      <c r="AH67" s="22" t="s">
        <v>11</v>
      </c>
      <c r="AI67" s="22" t="s">
        <v>12</v>
      </c>
      <c r="AJ67" s="22" t="s">
        <v>13</v>
      </c>
      <c r="AK67" s="22" t="s">
        <v>14</v>
      </c>
      <c r="AL67" s="22" t="s">
        <v>16</v>
      </c>
      <c r="AM67" s="22" t="s">
        <v>19</v>
      </c>
      <c r="AN67" s="22" t="s">
        <v>5</v>
      </c>
      <c r="AO67" s="22" t="s">
        <v>6</v>
      </c>
      <c r="AP67" s="22" t="s">
        <v>7</v>
      </c>
      <c r="AQ67" s="22" t="s">
        <v>8</v>
      </c>
      <c r="AR67" s="22" t="s">
        <v>9</v>
      </c>
      <c r="AS67" s="22" t="s">
        <v>10</v>
      </c>
      <c r="AT67" s="22" t="s">
        <v>11</v>
      </c>
      <c r="AU67" s="22" t="s">
        <v>12</v>
      </c>
      <c r="AV67" s="22" t="s">
        <v>13</v>
      </c>
      <c r="AW67" s="22" t="s">
        <v>14</v>
      </c>
      <c r="AX67" s="22" t="s">
        <v>3</v>
      </c>
      <c r="AY67" s="22" t="s">
        <v>4</v>
      </c>
      <c r="AZ67" s="22" t="s">
        <v>5</v>
      </c>
      <c r="BA67" s="22" t="s">
        <v>15</v>
      </c>
      <c r="BB67" s="22" t="s">
        <v>7</v>
      </c>
      <c r="BC67" s="22" t="s">
        <v>8</v>
      </c>
      <c r="BD67" s="22" t="s">
        <v>18</v>
      </c>
      <c r="BE67" s="22" t="s">
        <v>10</v>
      </c>
      <c r="BF67" s="22" t="s">
        <v>11</v>
      </c>
      <c r="BG67" s="22" t="s">
        <v>12</v>
      </c>
      <c r="BH67" s="22" t="s">
        <v>20</v>
      </c>
      <c r="BI67" s="22" t="s">
        <v>21</v>
      </c>
      <c r="BJ67" s="22" t="s">
        <v>16</v>
      </c>
      <c r="BK67" s="22" t="s">
        <v>19</v>
      </c>
      <c r="BL67" s="22" t="s">
        <v>5</v>
      </c>
      <c r="BM67" s="22" t="s">
        <v>15</v>
      </c>
      <c r="BN67" s="22" t="s">
        <v>7</v>
      </c>
      <c r="BO67" s="22" t="s">
        <v>8</v>
      </c>
      <c r="BP67" s="22" t="s">
        <v>9</v>
      </c>
      <c r="BQ67" s="22" t="s">
        <v>10</v>
      </c>
      <c r="BR67" s="22" t="s">
        <v>11</v>
      </c>
      <c r="BS67" s="22" t="s">
        <v>12</v>
      </c>
      <c r="BT67" s="22" t="s">
        <v>20</v>
      </c>
      <c r="BU67" s="22" t="s">
        <v>21</v>
      </c>
      <c r="BV67" s="22" t="s">
        <v>22</v>
      </c>
      <c r="BW67" s="22" t="s">
        <v>4</v>
      </c>
      <c r="BX67" s="22" t="s">
        <v>5</v>
      </c>
      <c r="BY67" s="22" t="s">
        <v>6</v>
      </c>
      <c r="BZ67" s="22" t="s">
        <v>17</v>
      </c>
      <c r="CA67" s="22" t="s">
        <v>23</v>
      </c>
      <c r="CB67" s="22" t="s">
        <v>18</v>
      </c>
      <c r="CC67" s="22" t="s">
        <v>24</v>
      </c>
      <c r="CD67" s="22" t="s">
        <v>11</v>
      </c>
      <c r="CE67" s="22" t="s">
        <v>12</v>
      </c>
      <c r="CF67" s="22" t="s">
        <v>13</v>
      </c>
      <c r="CG67" s="22" t="s">
        <v>14</v>
      </c>
      <c r="CH67" s="22" t="s">
        <v>16</v>
      </c>
      <c r="CI67" s="22" t="s">
        <v>4</v>
      </c>
      <c r="CJ67" s="22" t="s">
        <v>5</v>
      </c>
      <c r="CK67" s="22" t="s">
        <v>6</v>
      </c>
      <c r="CL67" s="22" t="s">
        <v>7</v>
      </c>
      <c r="CM67" s="22" t="s">
        <v>8</v>
      </c>
      <c r="CN67" s="22" t="s">
        <v>18</v>
      </c>
      <c r="CO67" s="22" t="s">
        <v>10</v>
      </c>
      <c r="CP67" s="22" t="s">
        <v>11</v>
      </c>
      <c r="CQ67" s="22" t="s">
        <v>12</v>
      </c>
      <c r="CR67" s="22" t="s">
        <v>20</v>
      </c>
      <c r="CS67" s="22" t="s">
        <v>14</v>
      </c>
      <c r="CT67" s="22" t="s">
        <v>22</v>
      </c>
      <c r="CU67" s="22" t="s">
        <v>19</v>
      </c>
      <c r="CV67" s="22" t="s">
        <v>5</v>
      </c>
      <c r="CW67" s="22" t="s">
        <v>15</v>
      </c>
      <c r="CX67" s="22" t="s">
        <v>7</v>
      </c>
      <c r="CY67" s="22" t="s">
        <v>23</v>
      </c>
      <c r="CZ67" s="22" t="s">
        <v>18</v>
      </c>
      <c r="DA67" s="22" t="s">
        <v>24</v>
      </c>
      <c r="DB67" s="22" t="s">
        <v>11</v>
      </c>
      <c r="DC67" s="22" t="s">
        <v>12</v>
      </c>
      <c r="DD67" s="22" t="s">
        <v>13</v>
      </c>
      <c r="DE67" s="22" t="s">
        <v>14</v>
      </c>
      <c r="DF67" s="22" t="s">
        <v>16</v>
      </c>
      <c r="DG67" s="22" t="s">
        <v>4</v>
      </c>
      <c r="DH67" s="22" t="s">
        <v>5</v>
      </c>
      <c r="DI67" s="22" t="s">
        <v>15</v>
      </c>
      <c r="DJ67" s="22" t="s">
        <v>7</v>
      </c>
      <c r="DK67" s="22" t="s">
        <v>8</v>
      </c>
      <c r="DL67" s="22" t="s">
        <v>18</v>
      </c>
      <c r="DM67" s="22" t="s">
        <v>24</v>
      </c>
      <c r="DN67" s="22" t="s">
        <v>11</v>
      </c>
      <c r="DO67" s="22" t="s">
        <v>12</v>
      </c>
      <c r="DP67" s="22" t="s">
        <v>20</v>
      </c>
      <c r="DQ67" s="22" t="s">
        <v>14</v>
      </c>
      <c r="DR67" s="22" t="s">
        <v>22</v>
      </c>
      <c r="DS67" s="22" t="s">
        <v>19</v>
      </c>
      <c r="DT67" s="22" t="s">
        <v>5</v>
      </c>
      <c r="DU67" s="22" t="s">
        <v>15</v>
      </c>
      <c r="DV67" s="22" t="s">
        <v>7</v>
      </c>
      <c r="DW67" s="22" t="s">
        <v>8</v>
      </c>
      <c r="DX67" s="22" t="s">
        <v>18</v>
      </c>
      <c r="DY67" s="22" t="s">
        <v>24</v>
      </c>
      <c r="DZ67" s="22" t="s">
        <v>11</v>
      </c>
      <c r="EA67" s="22" t="s">
        <v>12</v>
      </c>
      <c r="EB67" s="22" t="s">
        <v>20</v>
      </c>
      <c r="EC67" s="22" t="s">
        <v>21</v>
      </c>
      <c r="ED67" s="22" t="s">
        <v>22</v>
      </c>
      <c r="EE67" s="22" t="s">
        <v>4</v>
      </c>
      <c r="EF67" s="22" t="s">
        <v>5</v>
      </c>
      <c r="EG67" s="22" t="s">
        <v>15</v>
      </c>
      <c r="EH67" s="22" t="s">
        <v>17</v>
      </c>
      <c r="EI67" s="22" t="s">
        <v>23</v>
      </c>
      <c r="EJ67" s="22" t="s">
        <v>18</v>
      </c>
      <c r="EK67" s="22" t="s">
        <v>24</v>
      </c>
      <c r="EL67" s="22" t="s">
        <v>11</v>
      </c>
      <c r="EM67" s="22" t="s">
        <v>12</v>
      </c>
      <c r="EN67" s="22" t="s">
        <v>20</v>
      </c>
      <c r="EO67" s="22" t="s">
        <v>21</v>
      </c>
      <c r="EP67" s="22" t="s">
        <v>22</v>
      </c>
      <c r="EQ67" s="22" t="s">
        <v>4</v>
      </c>
      <c r="ER67" s="22" t="s">
        <v>5</v>
      </c>
      <c r="ES67" s="22" t="s">
        <v>6</v>
      </c>
      <c r="ET67" s="22" t="s">
        <v>17</v>
      </c>
      <c r="EU67" s="22" t="s">
        <v>8</v>
      </c>
      <c r="EV67" s="22" t="s">
        <v>18</v>
      </c>
      <c r="EW67" s="22" t="s">
        <v>24</v>
      </c>
      <c r="EX67" s="22" t="s">
        <v>11</v>
      </c>
      <c r="EY67" s="22" t="s">
        <v>12</v>
      </c>
      <c r="EZ67" s="22" t="s">
        <v>20</v>
      </c>
      <c r="FA67" s="22" t="s">
        <v>14</v>
      </c>
      <c r="FB67" s="22" t="s">
        <v>22</v>
      </c>
      <c r="FC67" s="22" t="s">
        <v>4</v>
      </c>
      <c r="FD67" s="22" t="s">
        <v>5</v>
      </c>
      <c r="FE67" s="22" t="s">
        <v>6</v>
      </c>
      <c r="FF67" s="22" t="s">
        <v>7</v>
      </c>
      <c r="FG67" s="22" t="s">
        <v>8</v>
      </c>
      <c r="FH67" s="22" t="s">
        <v>9</v>
      </c>
      <c r="FI67" s="22" t="s">
        <v>24</v>
      </c>
      <c r="FJ67" s="22" t="s">
        <v>11</v>
      </c>
      <c r="FK67" s="22" t="s">
        <v>12</v>
      </c>
      <c r="FL67" s="22" t="s">
        <v>20</v>
      </c>
      <c r="FM67" s="22" t="s">
        <v>14</v>
      </c>
      <c r="FN67" s="22" t="s">
        <v>22</v>
      </c>
      <c r="FO67" s="22" t="s">
        <v>19</v>
      </c>
      <c r="FP67" s="22" t="s">
        <v>27</v>
      </c>
      <c r="FQ67" s="22" t="s">
        <v>15</v>
      </c>
      <c r="FR67" s="22" t="s">
        <v>7</v>
      </c>
      <c r="FS67" s="22" t="s">
        <v>8</v>
      </c>
      <c r="FT67" s="22" t="s">
        <v>9</v>
      </c>
      <c r="FU67" s="22" t="s">
        <v>10</v>
      </c>
      <c r="FV67" s="22" t="s">
        <v>11</v>
      </c>
      <c r="FW67" s="22" t="s">
        <v>12</v>
      </c>
      <c r="FX67" s="22" t="s">
        <v>20</v>
      </c>
      <c r="FY67" s="22" t="s">
        <v>14</v>
      </c>
      <c r="FZ67" s="22" t="s">
        <v>16</v>
      </c>
      <c r="GA67" s="22" t="s">
        <v>19</v>
      </c>
      <c r="GB67" s="22" t="s">
        <v>5</v>
      </c>
      <c r="GC67" s="22" t="s">
        <v>6</v>
      </c>
      <c r="GD67" s="22" t="s">
        <v>7</v>
      </c>
      <c r="GE67" s="22" t="s">
        <v>8</v>
      </c>
      <c r="GF67" s="22" t="s">
        <v>18</v>
      </c>
      <c r="GG67" s="22" t="s">
        <v>24</v>
      </c>
      <c r="GH67" s="22" t="s">
        <v>11</v>
      </c>
      <c r="GI67" s="22" t="s">
        <v>12</v>
      </c>
      <c r="GJ67" s="22" t="s">
        <v>13</v>
      </c>
      <c r="GK67" s="22" t="s">
        <v>14</v>
      </c>
      <c r="GL67" s="22" t="s">
        <v>22</v>
      </c>
      <c r="GM67" s="22" t="s">
        <v>4</v>
      </c>
      <c r="GN67" s="22" t="s">
        <v>5</v>
      </c>
      <c r="GO67" s="22" t="s">
        <v>6</v>
      </c>
      <c r="GP67" s="22" t="s">
        <v>7</v>
      </c>
      <c r="GQ67" s="22" t="s">
        <v>8</v>
      </c>
      <c r="GR67" s="22" t="s">
        <v>18</v>
      </c>
      <c r="GV67" s="20" t="s">
        <v>3</v>
      </c>
      <c r="GW67" s="21" t="s">
        <v>4</v>
      </c>
      <c r="GX67" s="20" t="s">
        <v>5</v>
      </c>
      <c r="GY67" s="20" t="s">
        <v>6</v>
      </c>
      <c r="GZ67" s="20" t="s">
        <v>7</v>
      </c>
      <c r="HA67" s="20" t="s">
        <v>8</v>
      </c>
      <c r="HB67" s="20" t="s">
        <v>9</v>
      </c>
      <c r="HC67" s="20" t="s">
        <v>10</v>
      </c>
      <c r="HD67" s="20" t="s">
        <v>11</v>
      </c>
      <c r="HE67" s="20" t="s">
        <v>12</v>
      </c>
      <c r="HF67" s="20" t="s">
        <v>13</v>
      </c>
      <c r="HG67" s="20" t="s">
        <v>14</v>
      </c>
      <c r="HH67" s="20" t="s">
        <v>3</v>
      </c>
      <c r="HI67" s="20" t="s">
        <v>4</v>
      </c>
      <c r="HJ67" s="20" t="s">
        <v>5</v>
      </c>
      <c r="HK67" s="20" t="s">
        <v>15</v>
      </c>
      <c r="HL67" s="22" t="s">
        <v>7</v>
      </c>
      <c r="HM67" s="22" t="s">
        <v>8</v>
      </c>
      <c r="HN67" s="22" t="s">
        <v>9</v>
      </c>
      <c r="HO67" s="22" t="s">
        <v>10</v>
      </c>
      <c r="HP67" s="22" t="s">
        <v>11</v>
      </c>
      <c r="HQ67" s="22" t="s">
        <v>12</v>
      </c>
      <c r="HR67" s="22" t="s">
        <v>13</v>
      </c>
      <c r="HS67" s="22" t="s">
        <v>14</v>
      </c>
      <c r="HT67" s="22" t="s">
        <v>16</v>
      </c>
      <c r="HU67" s="22" t="s">
        <v>4</v>
      </c>
      <c r="HV67" s="22" t="s">
        <v>5</v>
      </c>
      <c r="HW67" s="22" t="s">
        <v>6</v>
      </c>
      <c r="HX67" s="22" t="s">
        <v>17</v>
      </c>
      <c r="HY67" s="22" t="s">
        <v>8</v>
      </c>
      <c r="HZ67" s="22" t="s">
        <v>18</v>
      </c>
      <c r="IA67" s="22" t="s">
        <v>10</v>
      </c>
      <c r="IB67" s="22" t="s">
        <v>11</v>
      </c>
      <c r="IC67" s="22" t="s">
        <v>12</v>
      </c>
      <c r="ID67" s="22" t="s">
        <v>13</v>
      </c>
      <c r="IE67" s="22" t="s">
        <v>26</v>
      </c>
      <c r="IF67" s="22" t="s">
        <v>16</v>
      </c>
      <c r="IG67" s="22" t="s">
        <v>4</v>
      </c>
      <c r="IH67" s="22" t="s">
        <v>5</v>
      </c>
      <c r="II67" s="22" t="s">
        <v>6</v>
      </c>
      <c r="IJ67" s="22" t="s">
        <v>7</v>
      </c>
      <c r="IK67" s="22" t="s">
        <v>7</v>
      </c>
      <c r="IL67" s="22" t="s">
        <v>18</v>
      </c>
      <c r="IM67" s="22" t="s">
        <v>10</v>
      </c>
      <c r="IN67" s="22" t="s">
        <v>11</v>
      </c>
      <c r="IO67" s="22" t="s">
        <v>12</v>
      </c>
      <c r="IP67" s="22" t="s">
        <v>13</v>
      </c>
      <c r="IQ67" s="22" t="s">
        <v>14</v>
      </c>
      <c r="IR67" s="22" t="s">
        <v>3</v>
      </c>
      <c r="IS67" s="22" t="s">
        <v>4</v>
      </c>
      <c r="IT67" s="22" t="s">
        <v>5</v>
      </c>
      <c r="IU67" s="22" t="s">
        <v>15</v>
      </c>
      <c r="IV67" s="22" t="s">
        <v>7</v>
      </c>
      <c r="IW67" s="22" t="s">
        <v>8</v>
      </c>
      <c r="IX67" s="22" t="s">
        <v>18</v>
      </c>
      <c r="IY67" s="22" t="s">
        <v>10</v>
      </c>
      <c r="IZ67" s="22" t="s">
        <v>11</v>
      </c>
      <c r="JA67" s="22" t="s">
        <v>12</v>
      </c>
      <c r="JB67" s="22" t="s">
        <v>20</v>
      </c>
      <c r="JC67" s="22" t="s">
        <v>21</v>
      </c>
      <c r="JD67" s="22" t="s">
        <v>16</v>
      </c>
      <c r="JE67" s="22" t="s">
        <v>4</v>
      </c>
      <c r="JF67" s="22" t="s">
        <v>5</v>
      </c>
      <c r="JG67" s="22" t="s">
        <v>6</v>
      </c>
      <c r="JH67" s="22" t="s">
        <v>7</v>
      </c>
      <c r="JI67" s="22" t="s">
        <v>8</v>
      </c>
      <c r="JJ67" s="22" t="s">
        <v>9</v>
      </c>
      <c r="JK67" s="22" t="s">
        <v>10</v>
      </c>
      <c r="JL67" s="22" t="s">
        <v>11</v>
      </c>
      <c r="JM67" s="22" t="s">
        <v>12</v>
      </c>
      <c r="JN67" s="22" t="s">
        <v>20</v>
      </c>
      <c r="JO67" s="22" t="s">
        <v>21</v>
      </c>
      <c r="JP67" s="22" t="s">
        <v>22</v>
      </c>
      <c r="JQ67" s="22" t="s">
        <v>4</v>
      </c>
      <c r="JR67" s="22" t="s">
        <v>5</v>
      </c>
      <c r="JS67" s="22" t="s">
        <v>6</v>
      </c>
      <c r="JT67" s="22" t="s">
        <v>17</v>
      </c>
      <c r="JU67" s="22" t="s">
        <v>23</v>
      </c>
      <c r="JV67" s="22" t="s">
        <v>18</v>
      </c>
      <c r="JW67" s="22" t="s">
        <v>24</v>
      </c>
      <c r="JX67" s="22" t="s">
        <v>11</v>
      </c>
      <c r="JY67" s="22" t="s">
        <v>12</v>
      </c>
      <c r="JZ67" s="22" t="s">
        <v>13</v>
      </c>
      <c r="KA67" s="22" t="s">
        <v>14</v>
      </c>
      <c r="KB67" s="22" t="s">
        <v>22</v>
      </c>
      <c r="KC67" s="22" t="s">
        <v>4</v>
      </c>
      <c r="KD67" s="22" t="s">
        <v>5</v>
      </c>
      <c r="KE67" s="22" t="s">
        <v>6</v>
      </c>
      <c r="KF67" s="22" t="s">
        <v>17</v>
      </c>
      <c r="KG67" s="22" t="s">
        <v>8</v>
      </c>
      <c r="KH67" s="22" t="s">
        <v>18</v>
      </c>
      <c r="KI67" s="22" t="s">
        <v>10</v>
      </c>
      <c r="KJ67" s="22" t="s">
        <v>11</v>
      </c>
      <c r="KK67" s="22" t="s">
        <v>12</v>
      </c>
      <c r="KL67" s="22" t="s">
        <v>20</v>
      </c>
      <c r="KM67" s="22" t="s">
        <v>21</v>
      </c>
      <c r="KN67" s="22" t="s">
        <v>16</v>
      </c>
      <c r="KO67" s="22" t="s">
        <v>19</v>
      </c>
      <c r="KP67" s="22" t="s">
        <v>5</v>
      </c>
      <c r="KQ67" s="22" t="s">
        <v>6</v>
      </c>
      <c r="KR67" s="22" t="s">
        <v>7</v>
      </c>
      <c r="KS67" s="22" t="s">
        <v>8</v>
      </c>
      <c r="KT67" s="22" t="s">
        <v>18</v>
      </c>
      <c r="KU67" s="22" t="s">
        <v>24</v>
      </c>
      <c r="KV67" s="22" t="s">
        <v>11</v>
      </c>
      <c r="KW67" s="22" t="s">
        <v>12</v>
      </c>
      <c r="KX67" s="22" t="s">
        <v>20</v>
      </c>
      <c r="KY67" s="22" t="s">
        <v>14</v>
      </c>
      <c r="KZ67" s="22" t="s">
        <v>16</v>
      </c>
      <c r="LA67" s="22" t="s">
        <v>4</v>
      </c>
      <c r="LB67" s="22" t="s">
        <v>27</v>
      </c>
      <c r="LC67" s="22" t="s">
        <v>6</v>
      </c>
      <c r="LD67" s="22" t="s">
        <v>7</v>
      </c>
      <c r="LE67" s="22" t="s">
        <v>8</v>
      </c>
      <c r="LF67" s="22" t="s">
        <v>9</v>
      </c>
      <c r="LG67" s="22" t="s">
        <v>24</v>
      </c>
      <c r="LH67" s="22" t="s">
        <v>11</v>
      </c>
      <c r="LI67" s="22" t="s">
        <v>12</v>
      </c>
      <c r="LJ67" s="22" t="s">
        <v>20</v>
      </c>
      <c r="LK67" s="22" t="s">
        <v>14</v>
      </c>
      <c r="LL67" s="22" t="s">
        <v>22</v>
      </c>
      <c r="LM67" s="22" t="s">
        <v>19</v>
      </c>
      <c r="LN67" s="22" t="s">
        <v>5</v>
      </c>
      <c r="LO67" s="22" t="s">
        <v>15</v>
      </c>
      <c r="LP67" s="22" t="s">
        <v>7</v>
      </c>
      <c r="LQ67" s="22" t="s">
        <v>8</v>
      </c>
      <c r="LR67" s="22" t="s">
        <v>18</v>
      </c>
      <c r="LS67" s="22" t="s">
        <v>10</v>
      </c>
      <c r="LT67" s="22" t="s">
        <v>11</v>
      </c>
      <c r="LU67" s="22" t="s">
        <v>12</v>
      </c>
      <c r="LV67" s="22" t="s">
        <v>13</v>
      </c>
      <c r="LW67" s="22" t="s">
        <v>14</v>
      </c>
      <c r="LX67" s="22" t="s">
        <v>22</v>
      </c>
      <c r="LY67" s="22" t="s">
        <v>4</v>
      </c>
      <c r="LZ67" s="22" t="s">
        <v>5</v>
      </c>
      <c r="MA67" s="22" t="s">
        <v>6</v>
      </c>
      <c r="MB67" s="22" t="s">
        <v>17</v>
      </c>
      <c r="MC67" s="22" t="s">
        <v>8</v>
      </c>
      <c r="MD67" s="22" t="s">
        <v>18</v>
      </c>
      <c r="ME67" s="22" t="s">
        <v>24</v>
      </c>
      <c r="MF67" s="22" t="s">
        <v>11</v>
      </c>
      <c r="MG67" s="22" t="s">
        <v>101</v>
      </c>
      <c r="MH67" s="22" t="s">
        <v>20</v>
      </c>
      <c r="MI67" s="22" t="s">
        <v>14</v>
      </c>
      <c r="MJ67" s="22" t="s">
        <v>22</v>
      </c>
      <c r="MK67" s="22" t="s">
        <v>4</v>
      </c>
      <c r="ML67" s="22" t="s">
        <v>5</v>
      </c>
      <c r="MM67" s="22" t="s">
        <v>6</v>
      </c>
      <c r="MN67" s="22" t="s">
        <v>17</v>
      </c>
      <c r="MO67" s="22" t="s">
        <v>8</v>
      </c>
      <c r="MP67" s="22" t="s">
        <v>18</v>
      </c>
      <c r="MQ67" s="22" t="s">
        <v>24</v>
      </c>
      <c r="MR67" s="22" t="s">
        <v>11</v>
      </c>
      <c r="MS67" s="22" t="s">
        <v>12</v>
      </c>
      <c r="MT67" s="22" t="s">
        <v>20</v>
      </c>
      <c r="MU67" s="22" t="s">
        <v>14</v>
      </c>
      <c r="MV67" s="22" t="s">
        <v>22</v>
      </c>
      <c r="MW67" s="22" t="s">
        <v>4</v>
      </c>
      <c r="MX67" s="22" t="s">
        <v>5</v>
      </c>
      <c r="MY67" s="22" t="s">
        <v>6</v>
      </c>
      <c r="MZ67" s="22" t="s">
        <v>7</v>
      </c>
      <c r="NA67" s="22" t="s">
        <v>8</v>
      </c>
      <c r="NB67" s="22" t="s">
        <v>18</v>
      </c>
      <c r="NC67" s="22" t="s">
        <v>24</v>
      </c>
      <c r="ND67" s="22" t="s">
        <v>11</v>
      </c>
      <c r="NE67" s="22" t="s">
        <v>12</v>
      </c>
      <c r="NF67" s="22" t="s">
        <v>20</v>
      </c>
      <c r="NG67" s="22" t="s">
        <v>14</v>
      </c>
      <c r="NH67" s="22" t="s">
        <v>22</v>
      </c>
      <c r="NI67" s="22" t="s">
        <v>19</v>
      </c>
      <c r="NJ67" s="22" t="s">
        <v>27</v>
      </c>
      <c r="NK67" s="22" t="s">
        <v>6</v>
      </c>
      <c r="NL67" s="22" t="s">
        <v>7</v>
      </c>
      <c r="NM67" s="22" t="s">
        <v>8</v>
      </c>
      <c r="NN67" s="22" t="s">
        <v>9</v>
      </c>
      <c r="NO67" s="22" t="s">
        <v>10</v>
      </c>
      <c r="NP67" s="22" t="s">
        <v>11</v>
      </c>
      <c r="NQ67" s="22" t="s">
        <v>12</v>
      </c>
      <c r="NR67" s="22" t="s">
        <v>20</v>
      </c>
      <c r="NS67" s="22" t="s">
        <v>14</v>
      </c>
      <c r="NT67" s="22" t="s">
        <v>16</v>
      </c>
      <c r="NU67" s="22" t="s">
        <v>19</v>
      </c>
      <c r="NV67" s="22" t="s">
        <v>5</v>
      </c>
      <c r="NW67" s="22" t="s">
        <v>6</v>
      </c>
      <c r="NX67" s="22" t="s">
        <v>7</v>
      </c>
      <c r="NY67" s="22" t="s">
        <v>8</v>
      </c>
      <c r="NZ67" s="22" t="s">
        <v>18</v>
      </c>
      <c r="OA67" s="22" t="s">
        <v>24</v>
      </c>
      <c r="OB67" s="22" t="s">
        <v>11</v>
      </c>
      <c r="OC67" s="22" t="s">
        <v>12</v>
      </c>
      <c r="OD67" s="22" t="s">
        <v>13</v>
      </c>
      <c r="OE67" s="22" t="s">
        <v>14</v>
      </c>
      <c r="OF67" s="22" t="s">
        <v>16</v>
      </c>
      <c r="OG67" s="22" t="s">
        <v>4</v>
      </c>
      <c r="OH67" s="22" t="s">
        <v>5</v>
      </c>
      <c r="OI67" s="22" t="s">
        <v>15</v>
      </c>
      <c r="OJ67" s="22" t="s">
        <v>7</v>
      </c>
      <c r="OK67" s="22" t="s">
        <v>8</v>
      </c>
      <c r="OL67" s="22" t="s">
        <v>18</v>
      </c>
    </row>
    <row r="68" spans="1:402" s="145" customFormat="1" x14ac:dyDescent="0.35">
      <c r="A68" s="12"/>
      <c r="B68" s="151">
        <f>'[1]Sept 07'!H21</f>
        <v>0.94974597457803478</v>
      </c>
      <c r="C68" s="151">
        <f>'[1]Oct 07'!H21</f>
        <v>0.94216786388307761</v>
      </c>
      <c r="D68" s="151">
        <f>'[1]Nov 07'!H21</f>
        <v>0.91668136649614862</v>
      </c>
      <c r="E68" s="151">
        <f>'[1]Dec 07'!H21</f>
        <v>0.92241316308143451</v>
      </c>
      <c r="F68" s="151">
        <f>'[1]Jan 08'!H21</f>
        <v>0.929710839366237</v>
      </c>
      <c r="G68" s="145">
        <v>0.93600000000000005</v>
      </c>
      <c r="H68" s="145">
        <f>'[1]Mar 08'!H21</f>
        <v>0.92290835946281724</v>
      </c>
      <c r="I68" s="145">
        <v>0.92040615787749758</v>
      </c>
      <c r="J68" s="145">
        <f>'[1]May 08'!H21</f>
        <v>0.91793695426964628</v>
      </c>
      <c r="K68" s="145">
        <v>0.94499999999999995</v>
      </c>
      <c r="L68" s="145">
        <f>'[1]Jul 08'!H21</f>
        <v>0.93119091121242648</v>
      </c>
      <c r="M68" s="145">
        <f>'[1]Aug 08'!H21</f>
        <v>0.91445208431222624</v>
      </c>
      <c r="N68" s="145">
        <v>0.9</v>
      </c>
      <c r="O68" s="145">
        <v>0.89400000000000002</v>
      </c>
      <c r="P68" s="145">
        <v>0.90400000000000003</v>
      </c>
      <c r="Q68" s="145">
        <v>0.84599999999999997</v>
      </c>
      <c r="R68" s="145">
        <v>0.83799999999999997</v>
      </c>
      <c r="S68" s="145">
        <v>0.92300000000000004</v>
      </c>
      <c r="T68" s="145">
        <v>0.90800000000000003</v>
      </c>
      <c r="U68" s="145">
        <v>0.89900000000000002</v>
      </c>
      <c r="V68" s="145">
        <v>0.80900000000000005</v>
      </c>
      <c r="W68" s="145">
        <v>0.88500000000000001</v>
      </c>
      <c r="X68" s="145">
        <v>0.85899999999999999</v>
      </c>
      <c r="Y68" s="145">
        <v>0.86499999999999999</v>
      </c>
      <c r="Z68" s="145">
        <f>1508000/1734900</f>
        <v>0.86921436394028473</v>
      </c>
      <c r="AA68" s="145">
        <v>0.92700000000000005</v>
      </c>
      <c r="AB68" s="145">
        <v>0.92800000000000005</v>
      </c>
      <c r="AC68" s="145">
        <v>0.87</v>
      </c>
      <c r="AD68" s="145">
        <v>0.82399999999999995</v>
      </c>
      <c r="AE68" s="145">
        <v>0.85699999999999998</v>
      </c>
      <c r="AF68" s="145">
        <v>0.88600000000000001</v>
      </c>
      <c r="AG68" s="145">
        <v>0.86199999999999999</v>
      </c>
      <c r="AH68" s="145">
        <v>0.84799999999999998</v>
      </c>
      <c r="AI68" s="145">
        <v>0.83599999999999997</v>
      </c>
      <c r="AJ68" s="145">
        <v>0.90600000000000003</v>
      </c>
      <c r="AK68" s="145">
        <v>0.88500000000000001</v>
      </c>
      <c r="AL68" s="145">
        <v>0.82399999999999995</v>
      </c>
      <c r="AM68" s="145">
        <v>0.85199999999999998</v>
      </c>
      <c r="AN68" s="145">
        <v>0.96599999999999997</v>
      </c>
      <c r="AO68" s="145">
        <v>0.92700000000000005</v>
      </c>
      <c r="AP68" s="145">
        <v>0.85599999999999998</v>
      </c>
      <c r="AQ68" s="145">
        <v>0.85699999999999998</v>
      </c>
      <c r="AR68" s="145">
        <v>0.90200000000000002</v>
      </c>
      <c r="AS68" s="145">
        <v>0.83399999999999996</v>
      </c>
      <c r="AT68" s="145">
        <v>0.89900000000000002</v>
      </c>
      <c r="AU68" s="145">
        <v>0.875</v>
      </c>
      <c r="AV68" s="145">
        <v>0.89</v>
      </c>
      <c r="AW68" s="145">
        <f>1516750/1782900</f>
        <v>0.8507207358797465</v>
      </c>
      <c r="AX68" s="145">
        <v>0.89100000000000001</v>
      </c>
      <c r="AY68" s="145">
        <v>0.88</v>
      </c>
      <c r="AZ68" s="145">
        <v>0.872</v>
      </c>
      <c r="BA68" s="145">
        <v>0.88900000000000001</v>
      </c>
      <c r="BB68" s="145">
        <v>0.89300000000000002</v>
      </c>
      <c r="BC68" s="145">
        <v>0.90700000000000003</v>
      </c>
      <c r="BD68" s="145">
        <v>0.88700000000000001</v>
      </c>
      <c r="BE68" s="145">
        <v>0.91400000000000003</v>
      </c>
      <c r="BF68" s="145">
        <v>0.91400000000000003</v>
      </c>
      <c r="BG68" s="145">
        <v>0.873</v>
      </c>
      <c r="BH68" s="145">
        <v>0.90500000000000003</v>
      </c>
      <c r="BI68" s="145">
        <v>0.89</v>
      </c>
      <c r="BJ68" s="145">
        <v>0.86899999999999999</v>
      </c>
      <c r="BK68" s="145">
        <v>0.94099999999999995</v>
      </c>
      <c r="BL68" s="145">
        <v>0.92500000000000004</v>
      </c>
      <c r="BM68" s="145">
        <v>0.93300000000000005</v>
      </c>
      <c r="BN68" s="145">
        <v>0.90300000000000002</v>
      </c>
      <c r="BO68" s="145">
        <v>0.91700000000000004</v>
      </c>
      <c r="BP68" s="145">
        <v>0.94599999999999995</v>
      </c>
      <c r="BQ68" s="145">
        <v>0.92300000000000004</v>
      </c>
      <c r="BR68" s="145">
        <v>0.93500000000000005</v>
      </c>
      <c r="BS68" s="145">
        <v>0.94099999999999995</v>
      </c>
      <c r="BT68" s="145">
        <v>0.98499999999999999</v>
      </c>
      <c r="BU68" s="145">
        <v>0.93200000000000005</v>
      </c>
      <c r="BV68" s="145">
        <v>0.97</v>
      </c>
      <c r="BW68" s="145">
        <v>0.94799999999999995</v>
      </c>
      <c r="BX68" s="145">
        <v>0.95399999999999996</v>
      </c>
      <c r="BY68" s="145">
        <v>0.92500000000000004</v>
      </c>
      <c r="BZ68" s="145">
        <v>0.95299999999999996</v>
      </c>
      <c r="CA68" s="145">
        <v>0.95799999999999996</v>
      </c>
      <c r="CB68" s="145">
        <v>0.94899999999999995</v>
      </c>
      <c r="CC68" s="145">
        <v>0.94899999999999995</v>
      </c>
      <c r="CD68" s="145">
        <v>0.92400000000000004</v>
      </c>
      <c r="CE68" s="145">
        <v>0.94499999999999995</v>
      </c>
      <c r="CF68" s="145">
        <v>0.98599999999999999</v>
      </c>
      <c r="CG68" s="145">
        <v>0.97699999999999998</v>
      </c>
      <c r="CH68" s="145">
        <v>0.96899999999999997</v>
      </c>
      <c r="CI68" s="145">
        <v>0.94799999999999995</v>
      </c>
      <c r="CJ68" s="145">
        <v>0.91200000000000003</v>
      </c>
      <c r="CK68" s="145">
        <v>0.97599999999999998</v>
      </c>
      <c r="CL68" s="145">
        <v>0.94499999999999995</v>
      </c>
      <c r="CM68" s="145">
        <v>0.93600000000000005</v>
      </c>
      <c r="CN68" s="145">
        <v>0.93899999999999995</v>
      </c>
      <c r="CO68" s="145">
        <v>0.92600000000000005</v>
      </c>
      <c r="CP68" s="145">
        <v>1.026</v>
      </c>
      <c r="CQ68" s="145">
        <v>0.94699999999999995</v>
      </c>
      <c r="CR68" s="145">
        <v>0.90700000000000003</v>
      </c>
      <c r="CS68" s="145">
        <v>0.94799999999999995</v>
      </c>
      <c r="CT68" s="145">
        <v>0.96199999999999997</v>
      </c>
      <c r="CU68" s="145">
        <v>0.90600000000000003</v>
      </c>
      <c r="CV68" s="145">
        <v>0.94799999999999995</v>
      </c>
      <c r="CW68" s="145">
        <v>0.94799999999999995</v>
      </c>
      <c r="CX68" s="145">
        <v>0.97899999999999998</v>
      </c>
      <c r="CY68" s="145">
        <v>0.93100000000000005</v>
      </c>
      <c r="CZ68" s="145">
        <v>0.86299999999999999</v>
      </c>
      <c r="DA68" s="145">
        <v>0.88100000000000001</v>
      </c>
      <c r="DB68" s="145">
        <v>0.89300000000000002</v>
      </c>
      <c r="DC68" s="145">
        <v>0.95199999999999996</v>
      </c>
      <c r="DD68" s="145">
        <v>0.93200000000000005</v>
      </c>
      <c r="DE68" s="145">
        <v>0.93300000000000005</v>
      </c>
      <c r="DF68" s="145">
        <v>0.93200000000000005</v>
      </c>
      <c r="DG68" s="145">
        <v>0.95399999999999996</v>
      </c>
      <c r="DH68" s="145">
        <v>0.94799999999999995</v>
      </c>
      <c r="DI68" s="145">
        <v>0.93899999999999995</v>
      </c>
      <c r="DJ68" s="145">
        <v>0.95099999999999996</v>
      </c>
      <c r="DK68" s="145">
        <v>0.94099999999999995</v>
      </c>
      <c r="DL68" s="145">
        <v>0.94599999999999995</v>
      </c>
      <c r="DM68" s="145">
        <v>0.92400000000000004</v>
      </c>
      <c r="DN68" s="145">
        <v>0.93400000000000005</v>
      </c>
      <c r="DO68" s="145">
        <v>0.94799999999999995</v>
      </c>
      <c r="DP68" s="145">
        <v>0.95399999999999996</v>
      </c>
      <c r="DQ68" s="145">
        <v>0.92200000000000004</v>
      </c>
      <c r="DR68" s="145">
        <v>0.95</v>
      </c>
      <c r="DS68" s="145">
        <v>0.96</v>
      </c>
      <c r="DT68" s="145">
        <v>0.94899999999999995</v>
      </c>
      <c r="DU68" s="145">
        <v>0.93400000000000005</v>
      </c>
      <c r="DV68" s="145">
        <v>0.94899999999999995</v>
      </c>
      <c r="DW68" s="145">
        <v>0.94799999999999995</v>
      </c>
      <c r="DX68" s="145">
        <v>0.95499999999999996</v>
      </c>
      <c r="DY68" s="145">
        <v>0.95199999999999996</v>
      </c>
      <c r="DZ68" s="145">
        <v>0.93300000000000005</v>
      </c>
      <c r="EA68" s="145">
        <v>0.94599999999999995</v>
      </c>
      <c r="EB68" s="145">
        <v>0.94899999999999995</v>
      </c>
      <c r="EC68" s="145">
        <v>0.94</v>
      </c>
      <c r="ED68" s="145">
        <v>0.95099999999999996</v>
      </c>
      <c r="EE68" s="145">
        <v>0.94899999999999995</v>
      </c>
      <c r="EF68" s="145">
        <v>0.96399999999999997</v>
      </c>
      <c r="EG68" s="145">
        <v>0.94399999999999995</v>
      </c>
      <c r="EH68" s="145">
        <v>0.95</v>
      </c>
      <c r="EI68" s="145">
        <v>0.96399999999999997</v>
      </c>
      <c r="EJ68" s="145">
        <v>0.94899999999999995</v>
      </c>
      <c r="EK68" s="145">
        <v>0.95399999999999996</v>
      </c>
      <c r="EL68" s="145">
        <v>0.96</v>
      </c>
      <c r="EM68" s="145">
        <v>0.95599999999999996</v>
      </c>
      <c r="EN68" s="145">
        <v>0.95299999999999996</v>
      </c>
      <c r="EO68" s="145">
        <v>0.94299999999999995</v>
      </c>
      <c r="EP68" s="145">
        <v>0.95</v>
      </c>
      <c r="EQ68" s="145">
        <v>0.95699999999999996</v>
      </c>
      <c r="ER68" s="145">
        <v>0.94599999999999995</v>
      </c>
      <c r="ES68" s="145">
        <v>0.95099999999999996</v>
      </c>
      <c r="ET68" s="145">
        <v>0.97699999999999998</v>
      </c>
      <c r="EU68" s="145">
        <v>0.96099999999999997</v>
      </c>
      <c r="EV68" s="145">
        <v>0.94699999999999995</v>
      </c>
      <c r="EW68" s="145">
        <v>0.97199999999999998</v>
      </c>
      <c r="EX68" s="145">
        <v>0.95599999999999996</v>
      </c>
      <c r="EY68" s="145">
        <v>0.95099999999999996</v>
      </c>
      <c r="EZ68" s="145">
        <v>0.95599999999999996</v>
      </c>
      <c r="FA68" s="145">
        <v>0.96199999999999997</v>
      </c>
      <c r="FB68" s="145">
        <v>0.97</v>
      </c>
      <c r="FC68" s="145">
        <v>0.96399999999999997</v>
      </c>
      <c r="FD68" s="145">
        <v>0.95299999999999996</v>
      </c>
      <c r="FE68" s="145">
        <v>0.96899999999999997</v>
      </c>
      <c r="FF68" s="145">
        <v>0.96399999999999997</v>
      </c>
      <c r="FG68" s="145">
        <v>0.97299999999999998</v>
      </c>
      <c r="FH68" s="145">
        <v>0.98399999999999999</v>
      </c>
      <c r="FI68" s="145">
        <v>1.002</v>
      </c>
      <c r="FJ68" s="145">
        <v>0.996</v>
      </c>
      <c r="FK68" s="145">
        <v>1.0009999999999999</v>
      </c>
      <c r="FL68" s="145">
        <v>0.99099999999999999</v>
      </c>
      <c r="FM68" s="145">
        <v>0.98</v>
      </c>
      <c r="FN68" s="145">
        <v>0.98599999999999999</v>
      </c>
      <c r="FO68" s="145">
        <v>0.99</v>
      </c>
      <c r="FP68" s="145">
        <v>0.97399999999999998</v>
      </c>
      <c r="FQ68" s="145">
        <v>1.0009999999999999</v>
      </c>
      <c r="FR68" s="145">
        <v>1.006</v>
      </c>
      <c r="FS68" s="145">
        <v>1.022</v>
      </c>
      <c r="FT68" s="145">
        <v>1.022</v>
      </c>
      <c r="FU68" s="145">
        <v>1.0569999999999999</v>
      </c>
      <c r="FV68" s="145">
        <v>1.022</v>
      </c>
      <c r="FW68" s="145">
        <v>0.99299999999999999</v>
      </c>
      <c r="FX68" s="145">
        <v>0.97</v>
      </c>
      <c r="FY68" s="145">
        <v>0.96599999999999997</v>
      </c>
      <c r="FZ68" s="145">
        <v>0.97699999999999998</v>
      </c>
      <c r="GA68" s="145">
        <v>0.95199999999999996</v>
      </c>
      <c r="GB68" s="145">
        <v>0.97099999999999997</v>
      </c>
      <c r="GC68" s="145">
        <v>0.91100000000000003</v>
      </c>
      <c r="GD68" s="145">
        <v>0.95399999999999996</v>
      </c>
      <c r="GE68" s="145">
        <v>0.95599999999999996</v>
      </c>
      <c r="GF68" s="145">
        <v>0.96199999999999997</v>
      </c>
      <c r="GG68" s="145">
        <v>0.97299999999999998</v>
      </c>
      <c r="GH68" s="145">
        <v>0.96099999999999997</v>
      </c>
      <c r="GI68" s="145">
        <v>0.96499999999999997</v>
      </c>
      <c r="GJ68" s="145">
        <v>0.97599999999999998</v>
      </c>
      <c r="GK68" s="145">
        <v>0.96499999999999997</v>
      </c>
      <c r="GL68" s="145">
        <v>0.97</v>
      </c>
      <c r="GM68" s="145">
        <v>0.97099999999999997</v>
      </c>
      <c r="GN68" s="145">
        <v>0.98099999999999998</v>
      </c>
      <c r="GO68" s="145">
        <v>0.96599999999999997</v>
      </c>
      <c r="GP68" s="145">
        <v>0.97799999999999998</v>
      </c>
      <c r="GQ68" s="145">
        <v>0.97399999999999998</v>
      </c>
      <c r="GR68" s="145">
        <v>0.96599999999999997</v>
      </c>
      <c r="GS68" s="144"/>
      <c r="GT68" s="152"/>
      <c r="GU68" s="152"/>
      <c r="GV68" s="151">
        <f>'[1]Sept 07'!H23</f>
        <v>2.8688524590163935E-2</v>
      </c>
      <c r="GW68" s="151">
        <f>'[1]Oct 07'!H23</f>
        <v>3.8610038610038609E-2</v>
      </c>
      <c r="GX68" s="151">
        <f>'[1]Nov 07'!H23</f>
        <v>1.8115942028985508E-2</v>
      </c>
      <c r="GY68" s="151">
        <f>'[1]Dec 07'!H23</f>
        <v>3.4615384615384617E-2</v>
      </c>
      <c r="GZ68" s="145">
        <f>'[1]Jan 08'!H23</f>
        <v>4.2704626334519574E-2</v>
      </c>
      <c r="HA68" s="145">
        <v>5.3999999999999999E-2</v>
      </c>
      <c r="HB68" s="145">
        <f>'[1]Mar 08'!H23</f>
        <v>4.1139240506329111E-2</v>
      </c>
      <c r="HC68" s="145">
        <v>1.5576323987538941E-2</v>
      </c>
      <c r="HD68" s="145">
        <f>'[1]May 08'!H23</f>
        <v>2.6058631921824105E-2</v>
      </c>
      <c r="HE68" s="145">
        <f>'[1]Jun 08'!H23</f>
        <v>2.1582733812949641E-2</v>
      </c>
      <c r="HF68" s="145">
        <f>'[1]Jul 08'!H23</f>
        <v>3.717472118959108E-2</v>
      </c>
      <c r="HG68" s="145">
        <v>3.3000000000000002E-2</v>
      </c>
      <c r="HH68" s="145">
        <v>2.9000000000000001E-2</v>
      </c>
      <c r="HI68" s="145">
        <v>2.7E-2</v>
      </c>
      <c r="HJ68" s="145">
        <v>2.3E-2</v>
      </c>
      <c r="HK68" s="145">
        <v>1.4E-2</v>
      </c>
      <c r="HL68" s="145">
        <v>2.4E-2</v>
      </c>
      <c r="HM68" s="145">
        <v>0.01</v>
      </c>
      <c r="HN68" s="145">
        <v>0.03</v>
      </c>
      <c r="HO68" s="145">
        <v>1.2999999999999999E-2</v>
      </c>
      <c r="HP68" s="145">
        <v>3.9E-2</v>
      </c>
      <c r="HQ68" s="145">
        <v>3.3000000000000002E-2</v>
      </c>
      <c r="HR68" s="145">
        <v>5.5E-2</v>
      </c>
      <c r="HS68" s="145">
        <v>2.5000000000000001E-2</v>
      </c>
      <c r="HT68" s="145">
        <v>4.7E-2</v>
      </c>
      <c r="HU68" s="145">
        <v>5.0999999999999997E-2</v>
      </c>
      <c r="HV68" s="145">
        <v>3.3000000000000002E-2</v>
      </c>
      <c r="HW68" s="145">
        <v>5.7000000000000002E-2</v>
      </c>
      <c r="HX68" s="145">
        <v>0.05</v>
      </c>
      <c r="HY68" s="145">
        <v>4.2000000000000003E-2</v>
      </c>
      <c r="HZ68" s="145">
        <v>6.8000000000000005E-2</v>
      </c>
      <c r="IA68" s="145">
        <v>3.5999999999999997E-2</v>
      </c>
      <c r="IB68" s="145">
        <v>0.05</v>
      </c>
      <c r="IC68" s="145">
        <v>0.06</v>
      </c>
      <c r="ID68" s="145">
        <v>0.04</v>
      </c>
      <c r="IE68" s="145">
        <v>0.04</v>
      </c>
      <c r="IF68" s="145">
        <v>4.2000000000000003E-2</v>
      </c>
      <c r="IG68" s="145">
        <v>3.6999999999999998E-2</v>
      </c>
      <c r="IH68" s="145">
        <v>0.03</v>
      </c>
      <c r="II68" s="145">
        <v>0.03</v>
      </c>
      <c r="IJ68" s="145">
        <v>0.03</v>
      </c>
      <c r="IK68" s="145">
        <v>4.2000000000000003E-2</v>
      </c>
      <c r="IL68" s="145">
        <v>7.6999999999999999E-2</v>
      </c>
      <c r="IM68" s="145">
        <v>3.6999999999999998E-2</v>
      </c>
      <c r="IN68" s="145">
        <v>8.4000000000000005E-2</v>
      </c>
      <c r="IO68" s="145">
        <v>7.0000000000000007E-2</v>
      </c>
      <c r="IP68" s="145">
        <v>0.10199999999999999</v>
      </c>
      <c r="IQ68" s="145">
        <v>8.3000000000000004E-2</v>
      </c>
      <c r="IR68" s="145">
        <v>5.6000000000000001E-2</v>
      </c>
      <c r="IS68" s="145">
        <v>5.8999999999999997E-2</v>
      </c>
      <c r="IT68" s="145">
        <v>2.9000000000000001E-2</v>
      </c>
      <c r="IU68" s="145">
        <v>3.6999999999999998E-2</v>
      </c>
      <c r="IV68" s="145">
        <v>6.5000000000000002E-2</v>
      </c>
      <c r="IW68" s="145">
        <v>5.3999999999999999E-2</v>
      </c>
      <c r="IX68" s="145">
        <v>6.7000000000000004E-2</v>
      </c>
      <c r="IY68" s="145">
        <v>6.8000000000000005E-2</v>
      </c>
      <c r="IZ68" s="145">
        <v>7.5999999999999998E-2</v>
      </c>
      <c r="JA68" s="145">
        <v>8.5000000000000006E-2</v>
      </c>
      <c r="JB68" s="145">
        <v>0.08</v>
      </c>
      <c r="JC68" s="145">
        <v>8.5000000000000006E-2</v>
      </c>
      <c r="JD68" s="145">
        <v>0.04</v>
      </c>
      <c r="JE68" s="145">
        <v>5.8000000000000003E-2</v>
      </c>
      <c r="JF68" s="145">
        <v>8.7999999999999995E-2</v>
      </c>
      <c r="JG68" s="145">
        <v>8.5000000000000006E-2</v>
      </c>
      <c r="JH68" s="145">
        <v>6.8000000000000005E-2</v>
      </c>
      <c r="JI68" s="145">
        <v>0.10100000000000001</v>
      </c>
      <c r="JJ68" s="145">
        <v>0.09</v>
      </c>
      <c r="JK68" s="145">
        <v>5.0999999999999997E-2</v>
      </c>
      <c r="JL68" s="145">
        <v>0.14299999999999999</v>
      </c>
      <c r="JM68" s="145">
        <v>0.17799999999999999</v>
      </c>
      <c r="JN68" s="145">
        <v>9.0999999999999998E-2</v>
      </c>
      <c r="JO68" s="145">
        <v>0.10100000000000001</v>
      </c>
      <c r="JP68" s="145">
        <v>8.1000000000000003E-2</v>
      </c>
      <c r="JQ68" s="145">
        <v>3.5999999999999997E-2</v>
      </c>
      <c r="JR68" s="145">
        <v>7.0000000000000007E-2</v>
      </c>
      <c r="JS68" s="145">
        <v>0.113</v>
      </c>
      <c r="JT68" s="145">
        <v>6.2E-2</v>
      </c>
      <c r="JU68" s="145">
        <v>7.0000000000000007E-2</v>
      </c>
      <c r="JV68" s="145">
        <v>5.1999999999999998E-2</v>
      </c>
      <c r="JW68" s="145">
        <v>8.8999999999999996E-2</v>
      </c>
      <c r="JX68" s="145">
        <v>8.6999999999999994E-2</v>
      </c>
      <c r="JY68" s="145">
        <v>0.16</v>
      </c>
      <c r="JZ68" s="145">
        <v>6.7000000000000004E-2</v>
      </c>
      <c r="KA68" s="145">
        <v>6.8000000000000005E-2</v>
      </c>
      <c r="KB68" s="145">
        <v>0.10299999999999999</v>
      </c>
      <c r="KC68" s="145">
        <v>5.2999999999999999E-2</v>
      </c>
      <c r="KD68" s="145">
        <v>3.4000000000000002E-2</v>
      </c>
      <c r="KE68" s="145">
        <v>0.106</v>
      </c>
      <c r="KF68" s="145">
        <v>3.9E-2</v>
      </c>
      <c r="KG68" s="145">
        <v>5.7000000000000002E-2</v>
      </c>
      <c r="KH68" s="145">
        <v>3.9E-2</v>
      </c>
      <c r="KI68" s="145">
        <v>6.3E-2</v>
      </c>
      <c r="KJ68" s="145">
        <v>5.5E-2</v>
      </c>
      <c r="KK68" s="145">
        <v>0.13</v>
      </c>
      <c r="KL68" s="145">
        <v>0.06</v>
      </c>
      <c r="KM68" s="145">
        <v>8.7999999999999995E-2</v>
      </c>
      <c r="KN68" s="145">
        <v>3.5000000000000003E-2</v>
      </c>
      <c r="KO68" s="145">
        <v>4.1000000000000002E-2</v>
      </c>
      <c r="KP68" s="145">
        <v>5.8000000000000003E-2</v>
      </c>
      <c r="KQ68" s="145">
        <v>6.8000000000000005E-2</v>
      </c>
      <c r="KR68" s="145">
        <v>5.2999999999999999E-2</v>
      </c>
      <c r="KS68" s="145">
        <v>3.9E-2</v>
      </c>
      <c r="KT68" s="145">
        <v>5.8999999999999997E-2</v>
      </c>
      <c r="KU68" s="145">
        <v>0.08</v>
      </c>
      <c r="KV68" s="145">
        <v>0.08</v>
      </c>
      <c r="KW68" s="145">
        <v>8.1000000000000003E-2</v>
      </c>
      <c r="KX68" s="145">
        <v>0.05</v>
      </c>
      <c r="KY68" s="145">
        <v>6.5000000000000002E-2</v>
      </c>
      <c r="KZ68" s="145">
        <v>3.7999999999999999E-2</v>
      </c>
      <c r="LA68" s="145">
        <v>3.4000000000000002E-2</v>
      </c>
      <c r="LB68" s="145">
        <v>6.7000000000000004E-2</v>
      </c>
      <c r="LC68" s="145">
        <v>6.9000000000000006E-2</v>
      </c>
      <c r="LD68" s="145">
        <v>5.3999999999999999E-2</v>
      </c>
      <c r="LE68" s="145">
        <v>0.03</v>
      </c>
      <c r="LF68" s="145">
        <v>7.4999999999999997E-2</v>
      </c>
      <c r="LG68" s="145">
        <v>4.1000000000000002E-2</v>
      </c>
      <c r="LH68" s="145">
        <v>7.2999999999999995E-2</v>
      </c>
      <c r="LI68" s="145">
        <v>0.13</v>
      </c>
      <c r="LJ68" s="145">
        <v>0.11700000000000001</v>
      </c>
      <c r="LK68" s="145">
        <v>5.8999999999999997E-2</v>
      </c>
      <c r="LL68" s="145">
        <v>6.5000000000000002E-2</v>
      </c>
      <c r="LM68" s="145">
        <v>1.7999999999999999E-2</v>
      </c>
      <c r="LN68" s="145">
        <v>5.1999999999999998E-2</v>
      </c>
      <c r="LO68" s="145">
        <v>8.3000000000000004E-2</v>
      </c>
      <c r="LP68" s="145">
        <v>7.6999999999999999E-2</v>
      </c>
      <c r="LQ68" s="145">
        <v>5.7000000000000002E-2</v>
      </c>
      <c r="LR68" s="145">
        <v>7.2999999999999995E-2</v>
      </c>
      <c r="LS68" s="145">
        <v>0.06</v>
      </c>
      <c r="LT68" s="145">
        <v>0.05</v>
      </c>
      <c r="LU68" s="145">
        <v>0.13700000000000001</v>
      </c>
      <c r="LV68" s="145">
        <v>8.6999999999999994E-2</v>
      </c>
      <c r="LW68" s="145">
        <v>6.3E-2</v>
      </c>
      <c r="LX68" s="145">
        <v>0.125</v>
      </c>
      <c r="LY68" s="145">
        <v>0.105</v>
      </c>
      <c r="LZ68" s="145">
        <v>0.09</v>
      </c>
      <c r="MA68" s="145">
        <v>7.8E-2</v>
      </c>
      <c r="MB68" s="145">
        <v>0.05</v>
      </c>
      <c r="MC68" s="145">
        <v>6.3E-2</v>
      </c>
      <c r="MD68" s="145">
        <v>6.9000000000000006E-2</v>
      </c>
      <c r="ME68" s="145">
        <v>0.13900000000000001</v>
      </c>
      <c r="MF68" s="145">
        <v>0.14000000000000001</v>
      </c>
      <c r="MG68" s="145">
        <v>0.14299999999999999</v>
      </c>
      <c r="MH68" s="145">
        <v>0.14799999999999999</v>
      </c>
      <c r="MI68" s="145">
        <v>8.7999999999999995E-2</v>
      </c>
      <c r="MJ68" s="145">
        <v>5.7000000000000002E-2</v>
      </c>
      <c r="MK68" s="145">
        <v>8.2000000000000003E-2</v>
      </c>
      <c r="ML68" s="145">
        <v>0.104</v>
      </c>
      <c r="MM68" s="145">
        <v>0.13300000000000001</v>
      </c>
      <c r="MN68" s="145">
        <v>0.09</v>
      </c>
      <c r="MO68" s="145">
        <v>0.193</v>
      </c>
      <c r="MP68" s="145">
        <v>0.20599999999999999</v>
      </c>
      <c r="MQ68" s="145">
        <v>0.14899999999999999</v>
      </c>
      <c r="MR68" s="145">
        <v>0.10299999999999999</v>
      </c>
      <c r="MS68" s="145">
        <v>0.16300000000000001</v>
      </c>
      <c r="MT68" s="145">
        <v>0.26100000000000001</v>
      </c>
      <c r="MU68" s="145">
        <v>0.19800000000000001</v>
      </c>
      <c r="MV68" s="145">
        <v>0.39100000000000001</v>
      </c>
      <c r="MW68" s="145">
        <v>0.39800000000000002</v>
      </c>
      <c r="MX68" s="145">
        <v>0.28100000000000003</v>
      </c>
      <c r="MY68" s="145">
        <v>0.54900000000000004</v>
      </c>
      <c r="MZ68" s="145">
        <v>0.47599999999999998</v>
      </c>
      <c r="NA68" s="145">
        <v>1.0649999999999999</v>
      </c>
      <c r="NB68" s="145">
        <v>1.2609999999999999</v>
      </c>
      <c r="NC68" s="145">
        <v>0.92600000000000005</v>
      </c>
      <c r="ND68" s="145">
        <v>0.95599999999999996</v>
      </c>
      <c r="NE68" s="145">
        <v>1.268</v>
      </c>
      <c r="NF68" s="145">
        <v>0.90700000000000003</v>
      </c>
      <c r="NG68" s="145">
        <v>0.93300000000000005</v>
      </c>
      <c r="NH68" s="145">
        <v>0.57399999999999995</v>
      </c>
      <c r="NI68" s="145">
        <v>0.73099999999999998</v>
      </c>
      <c r="NJ68" s="145">
        <v>0.73299999999999998</v>
      </c>
      <c r="NK68" s="145">
        <v>0.73299999999999998</v>
      </c>
      <c r="NL68" s="145">
        <v>1.484</v>
      </c>
      <c r="NM68" s="145">
        <v>2.1539999999999999</v>
      </c>
      <c r="NN68" s="145">
        <v>1.2390000000000001</v>
      </c>
      <c r="NO68" s="145">
        <v>0.80900000000000005</v>
      </c>
      <c r="NP68" s="145">
        <v>0.59099999999999997</v>
      </c>
      <c r="NQ68" s="145">
        <v>0.46600000000000003</v>
      </c>
      <c r="NR68" s="145">
        <v>0.246</v>
      </c>
      <c r="NS68" s="145">
        <v>0.33600000000000002</v>
      </c>
      <c r="NT68" s="145">
        <v>0.24299999999999999</v>
      </c>
      <c r="NU68" s="145">
        <v>0.21199999999999999</v>
      </c>
      <c r="NV68" s="145">
        <v>0.27800000000000002</v>
      </c>
      <c r="NW68" s="145">
        <v>0.23</v>
      </c>
      <c r="NX68" s="145">
        <v>0.19700000000000001</v>
      </c>
      <c r="NY68" s="145">
        <v>0.20499999999999999</v>
      </c>
      <c r="NZ68" s="145">
        <v>0.32100000000000001</v>
      </c>
      <c r="OA68" s="145">
        <v>0.40400000000000003</v>
      </c>
      <c r="OB68" s="145">
        <v>0.50900000000000001</v>
      </c>
      <c r="OC68" s="145">
        <v>0.51500000000000001</v>
      </c>
      <c r="OD68" s="145">
        <v>0.34300000000000003</v>
      </c>
      <c r="OE68" s="145">
        <v>0.373</v>
      </c>
      <c r="OF68" s="145">
        <v>0.248</v>
      </c>
      <c r="OG68" s="145">
        <v>0.17100000000000001</v>
      </c>
      <c r="OH68" s="145">
        <v>0.19</v>
      </c>
      <c r="OI68" s="145">
        <v>0.27300000000000002</v>
      </c>
      <c r="OJ68" s="145">
        <v>0.186</v>
      </c>
      <c r="OK68" s="145">
        <v>0.314</v>
      </c>
      <c r="OL68" s="145">
        <v>0.27</v>
      </c>
    </row>
    <row r="70" spans="1:402" ht="14.5" x14ac:dyDescent="0.35">
      <c r="A70" s="28"/>
    </row>
    <row r="71" spans="1:402" ht="17.5" x14ac:dyDescent="0.35">
      <c r="A71" s="8" t="s">
        <v>48</v>
      </c>
      <c r="B71" s="47"/>
      <c r="C71" s="47"/>
      <c r="D71" s="47"/>
      <c r="E71" s="47"/>
      <c r="F71" s="47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47"/>
      <c r="GU71" s="47"/>
      <c r="GV71" s="47"/>
      <c r="GW71" s="47"/>
      <c r="GX71" s="47"/>
      <c r="GY71" s="47"/>
      <c r="GZ71" s="38"/>
      <c r="HA71" s="38"/>
      <c r="HB71" s="38"/>
      <c r="HC71" s="38"/>
      <c r="HD71" s="38"/>
      <c r="HE71" s="38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/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/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/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/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</row>
    <row r="72" spans="1:402" ht="16" thickBot="1" x14ac:dyDescent="0.4">
      <c r="A72" s="12" t="s">
        <v>47</v>
      </c>
      <c r="GU72" s="12" t="s">
        <v>2</v>
      </c>
    </row>
    <row r="73" spans="1:402" x14ac:dyDescent="0.35">
      <c r="B73" s="13">
        <v>2007</v>
      </c>
      <c r="C73" s="13"/>
      <c r="D73" s="13"/>
      <c r="E73" s="14"/>
      <c r="F73" s="15">
        <v>2008</v>
      </c>
      <c r="G73" s="16"/>
      <c r="H73" s="17"/>
      <c r="I73" s="16"/>
      <c r="J73" s="16"/>
      <c r="K73" s="16"/>
      <c r="L73" s="18"/>
      <c r="M73" s="18"/>
      <c r="N73" s="18"/>
      <c r="O73" s="18"/>
      <c r="P73" s="18"/>
      <c r="Q73" s="18"/>
      <c r="R73" s="19">
        <v>2009</v>
      </c>
      <c r="S73" s="19"/>
      <c r="T73" s="19"/>
      <c r="U73" s="19"/>
      <c r="V73" s="16"/>
      <c r="W73" s="16"/>
      <c r="X73" s="16"/>
      <c r="Y73" s="16"/>
      <c r="Z73" s="16"/>
      <c r="AA73" s="16"/>
      <c r="AB73" s="16"/>
      <c r="AC73" s="16"/>
      <c r="AD73" s="19">
        <v>2010</v>
      </c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>
        <v>2011</v>
      </c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9">
        <v>2012</v>
      </c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9">
        <v>2013</v>
      </c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>
        <v>2014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>
        <v>2015</v>
      </c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9">
        <v>2016</v>
      </c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9">
        <v>2017</v>
      </c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>
        <v>2018</v>
      </c>
      <c r="DW73" s="19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9">
        <v>2019</v>
      </c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9">
        <v>2020</v>
      </c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9">
        <v>2021</v>
      </c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>
        <v>2022</v>
      </c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>
        <v>2023</v>
      </c>
      <c r="GE73" s="19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9">
        <v>2024</v>
      </c>
      <c r="GQ73" s="19"/>
      <c r="GR73" s="183"/>
      <c r="GS73" s="13"/>
      <c r="GV73" s="13">
        <v>2007</v>
      </c>
      <c r="GW73" s="13"/>
      <c r="GX73" s="13"/>
      <c r="GY73" s="14"/>
      <c r="GZ73" s="15">
        <v>2008</v>
      </c>
      <c r="HA73" s="16"/>
      <c r="HB73" s="17"/>
      <c r="HC73" s="16"/>
      <c r="HD73" s="16"/>
      <c r="HE73" s="16"/>
      <c r="HF73" s="18"/>
      <c r="HG73" s="18"/>
      <c r="HH73" s="18"/>
      <c r="HI73" s="18"/>
      <c r="HJ73" s="18"/>
      <c r="HK73" s="18"/>
      <c r="HL73" s="19">
        <v>2009</v>
      </c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>
        <v>2010</v>
      </c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>
        <v>2011</v>
      </c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>
        <v>2012</v>
      </c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>
        <v>2013</v>
      </c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>
        <v>2014</v>
      </c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>
        <v>2015</v>
      </c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>
        <v>2016</v>
      </c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>
        <v>2017</v>
      </c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>
        <v>2018</v>
      </c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>
        <v>2019</v>
      </c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>
        <v>2020</v>
      </c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>
        <v>2021</v>
      </c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>
        <v>2022</v>
      </c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>
        <v>2023</v>
      </c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>
        <v>2024</v>
      </c>
      <c r="OK73" s="19"/>
      <c r="OL73" s="19"/>
    </row>
    <row r="74" spans="1:402" x14ac:dyDescent="0.35">
      <c r="B74" s="20" t="s">
        <v>3</v>
      </c>
      <c r="C74" s="21" t="s">
        <v>4</v>
      </c>
      <c r="D74" s="20" t="s">
        <v>5</v>
      </c>
      <c r="E74" s="20" t="s">
        <v>6</v>
      </c>
      <c r="F74" s="20" t="s">
        <v>7</v>
      </c>
      <c r="G74" s="20" t="s">
        <v>8</v>
      </c>
      <c r="H74" s="20" t="s">
        <v>9</v>
      </c>
      <c r="I74" s="20" t="s">
        <v>10</v>
      </c>
      <c r="J74" s="20" t="s">
        <v>11</v>
      </c>
      <c r="K74" s="20" t="s">
        <v>12</v>
      </c>
      <c r="L74" s="20" t="s">
        <v>13</v>
      </c>
      <c r="M74" s="20" t="s">
        <v>14</v>
      </c>
      <c r="N74" s="20" t="s">
        <v>3</v>
      </c>
      <c r="O74" s="20" t="s">
        <v>4</v>
      </c>
      <c r="P74" s="20" t="s">
        <v>5</v>
      </c>
      <c r="Q74" s="20" t="s">
        <v>15</v>
      </c>
      <c r="R74" s="22" t="s">
        <v>7</v>
      </c>
      <c r="S74" s="22" t="s">
        <v>8</v>
      </c>
      <c r="T74" s="22" t="s">
        <v>9</v>
      </c>
      <c r="U74" s="22" t="s">
        <v>10</v>
      </c>
      <c r="V74" s="22" t="s">
        <v>11</v>
      </c>
      <c r="W74" s="22" t="s">
        <v>12</v>
      </c>
      <c r="X74" s="22" t="s">
        <v>13</v>
      </c>
      <c r="Y74" s="22" t="s">
        <v>14</v>
      </c>
      <c r="Z74" s="22" t="s">
        <v>16</v>
      </c>
      <c r="AA74" s="22" t="s">
        <v>4</v>
      </c>
      <c r="AB74" s="22" t="s">
        <v>5</v>
      </c>
      <c r="AC74" s="22" t="s">
        <v>6</v>
      </c>
      <c r="AD74" s="22" t="s">
        <v>17</v>
      </c>
      <c r="AE74" s="22" t="s">
        <v>8</v>
      </c>
      <c r="AF74" s="22" t="s">
        <v>18</v>
      </c>
      <c r="AG74" s="22" t="s">
        <v>10</v>
      </c>
      <c r="AH74" s="22" t="s">
        <v>11</v>
      </c>
      <c r="AI74" s="22" t="s">
        <v>12</v>
      </c>
      <c r="AJ74" s="22" t="s">
        <v>13</v>
      </c>
      <c r="AK74" s="22" t="s">
        <v>14</v>
      </c>
      <c r="AL74" s="22" t="s">
        <v>16</v>
      </c>
      <c r="AM74" s="22" t="s">
        <v>19</v>
      </c>
      <c r="AN74" s="22" t="s">
        <v>5</v>
      </c>
      <c r="AO74" s="22" t="s">
        <v>6</v>
      </c>
      <c r="AP74" s="22" t="s">
        <v>7</v>
      </c>
      <c r="AQ74" s="22" t="s">
        <v>8</v>
      </c>
      <c r="AR74" s="22" t="s">
        <v>9</v>
      </c>
      <c r="AS74" s="22" t="s">
        <v>10</v>
      </c>
      <c r="AT74" s="22" t="s">
        <v>11</v>
      </c>
      <c r="AU74" s="22" t="s">
        <v>12</v>
      </c>
      <c r="AV74" s="22" t="s">
        <v>13</v>
      </c>
      <c r="AW74" s="22" t="s">
        <v>14</v>
      </c>
      <c r="AX74" s="22" t="s">
        <v>3</v>
      </c>
      <c r="AY74" s="22" t="s">
        <v>4</v>
      </c>
      <c r="AZ74" s="22" t="s">
        <v>5</v>
      </c>
      <c r="BA74" s="22" t="s">
        <v>15</v>
      </c>
      <c r="BB74" s="22" t="s">
        <v>7</v>
      </c>
      <c r="BC74" s="22" t="s">
        <v>8</v>
      </c>
      <c r="BD74" s="22" t="s">
        <v>18</v>
      </c>
      <c r="BE74" s="22" t="s">
        <v>10</v>
      </c>
      <c r="BF74" s="22" t="s">
        <v>11</v>
      </c>
      <c r="BG74" s="22" t="s">
        <v>12</v>
      </c>
      <c r="BH74" s="22" t="s">
        <v>20</v>
      </c>
      <c r="BI74" s="22" t="s">
        <v>21</v>
      </c>
      <c r="BJ74" s="22" t="s">
        <v>16</v>
      </c>
      <c r="BK74" s="22" t="s">
        <v>19</v>
      </c>
      <c r="BL74" s="22" t="s">
        <v>5</v>
      </c>
      <c r="BM74" s="22" t="s">
        <v>15</v>
      </c>
      <c r="BN74" s="22" t="s">
        <v>7</v>
      </c>
      <c r="BO74" s="22" t="s">
        <v>8</v>
      </c>
      <c r="BP74" s="22" t="s">
        <v>9</v>
      </c>
      <c r="BQ74" s="22" t="s">
        <v>10</v>
      </c>
      <c r="BR74" s="22" t="s">
        <v>11</v>
      </c>
      <c r="BS74" s="22" t="s">
        <v>12</v>
      </c>
      <c r="BT74" s="22" t="s">
        <v>20</v>
      </c>
      <c r="BU74" s="22" t="s">
        <v>21</v>
      </c>
      <c r="BV74" s="22" t="s">
        <v>22</v>
      </c>
      <c r="BW74" s="22" t="s">
        <v>4</v>
      </c>
      <c r="BX74" s="22" t="s">
        <v>5</v>
      </c>
      <c r="BY74" s="22" t="s">
        <v>6</v>
      </c>
      <c r="BZ74" s="22" t="s">
        <v>17</v>
      </c>
      <c r="CA74" s="22" t="s">
        <v>23</v>
      </c>
      <c r="CB74" s="22" t="s">
        <v>18</v>
      </c>
      <c r="CC74" s="22" t="s">
        <v>24</v>
      </c>
      <c r="CD74" s="22" t="s">
        <v>11</v>
      </c>
      <c r="CE74" s="22" t="s">
        <v>12</v>
      </c>
      <c r="CF74" s="22" t="s">
        <v>13</v>
      </c>
      <c r="CG74" s="22" t="s">
        <v>14</v>
      </c>
      <c r="CH74" s="22" t="s">
        <v>16</v>
      </c>
      <c r="CI74" s="22" t="s">
        <v>4</v>
      </c>
      <c r="CJ74" s="22" t="s">
        <v>5</v>
      </c>
      <c r="CK74" s="22" t="s">
        <v>6</v>
      </c>
      <c r="CL74" s="22" t="s">
        <v>7</v>
      </c>
      <c r="CM74" s="22" t="s">
        <v>8</v>
      </c>
      <c r="CN74" s="22" t="s">
        <v>18</v>
      </c>
      <c r="CO74" s="22" t="s">
        <v>10</v>
      </c>
      <c r="CP74" s="22" t="s">
        <v>11</v>
      </c>
      <c r="CQ74" s="22" t="s">
        <v>12</v>
      </c>
      <c r="CR74" s="22" t="s">
        <v>20</v>
      </c>
      <c r="CS74" s="22" t="s">
        <v>14</v>
      </c>
      <c r="CT74" s="22" t="s">
        <v>22</v>
      </c>
      <c r="CU74" s="22" t="s">
        <v>19</v>
      </c>
      <c r="CV74" s="22" t="s">
        <v>5</v>
      </c>
      <c r="CW74" s="22" t="s">
        <v>15</v>
      </c>
      <c r="CX74" s="22" t="s">
        <v>7</v>
      </c>
      <c r="CY74" s="22" t="s">
        <v>23</v>
      </c>
      <c r="CZ74" s="22" t="s">
        <v>18</v>
      </c>
      <c r="DA74" s="22" t="s">
        <v>24</v>
      </c>
      <c r="DB74" s="22" t="s">
        <v>11</v>
      </c>
      <c r="DC74" s="22" t="s">
        <v>12</v>
      </c>
      <c r="DD74" s="22" t="s">
        <v>13</v>
      </c>
      <c r="DE74" s="22" t="s">
        <v>14</v>
      </c>
      <c r="DF74" s="22" t="s">
        <v>16</v>
      </c>
      <c r="DG74" s="22" t="s">
        <v>4</v>
      </c>
      <c r="DH74" s="22" t="s">
        <v>5</v>
      </c>
      <c r="DI74" s="22" t="s">
        <v>15</v>
      </c>
      <c r="DJ74" s="22" t="s">
        <v>7</v>
      </c>
      <c r="DK74" s="22" t="s">
        <v>8</v>
      </c>
      <c r="DL74" s="22" t="s">
        <v>18</v>
      </c>
      <c r="DM74" s="22" t="s">
        <v>24</v>
      </c>
      <c r="DN74" s="22" t="s">
        <v>11</v>
      </c>
      <c r="DO74" s="22" t="s">
        <v>12</v>
      </c>
      <c r="DP74" s="22" t="s">
        <v>20</v>
      </c>
      <c r="DQ74" s="22" t="s">
        <v>14</v>
      </c>
      <c r="DR74" s="22" t="s">
        <v>22</v>
      </c>
      <c r="DS74" s="22" t="s">
        <v>19</v>
      </c>
      <c r="DT74" s="22" t="s">
        <v>5</v>
      </c>
      <c r="DU74" s="22" t="s">
        <v>15</v>
      </c>
      <c r="DV74" s="22" t="s">
        <v>7</v>
      </c>
      <c r="DW74" s="22" t="s">
        <v>8</v>
      </c>
      <c r="DX74" s="22" t="s">
        <v>18</v>
      </c>
      <c r="DY74" s="22" t="s">
        <v>24</v>
      </c>
      <c r="DZ74" s="22" t="s">
        <v>11</v>
      </c>
      <c r="EA74" s="22" t="s">
        <v>12</v>
      </c>
      <c r="EB74" s="22" t="s">
        <v>20</v>
      </c>
      <c r="EC74" s="22" t="s">
        <v>21</v>
      </c>
      <c r="ED74" s="22" t="s">
        <v>22</v>
      </c>
      <c r="EE74" s="22" t="s">
        <v>4</v>
      </c>
      <c r="EF74" s="22" t="s">
        <v>5</v>
      </c>
      <c r="EG74" s="22" t="s">
        <v>15</v>
      </c>
      <c r="EH74" s="22" t="s">
        <v>17</v>
      </c>
      <c r="EI74" s="22" t="s">
        <v>23</v>
      </c>
      <c r="EJ74" s="22" t="s">
        <v>18</v>
      </c>
      <c r="EK74" s="22" t="s">
        <v>24</v>
      </c>
      <c r="EL74" s="22" t="s">
        <v>11</v>
      </c>
      <c r="EM74" s="22" t="s">
        <v>12</v>
      </c>
      <c r="EN74" s="22" t="s">
        <v>20</v>
      </c>
      <c r="EO74" s="22" t="s">
        <v>21</v>
      </c>
      <c r="EP74" s="22" t="s">
        <v>22</v>
      </c>
      <c r="EQ74" s="22" t="s">
        <v>4</v>
      </c>
      <c r="ER74" s="22" t="s">
        <v>5</v>
      </c>
      <c r="ES74" s="22" t="s">
        <v>6</v>
      </c>
      <c r="ET74" s="22" t="s">
        <v>17</v>
      </c>
      <c r="EU74" s="22" t="s">
        <v>8</v>
      </c>
      <c r="EV74" s="22" t="s">
        <v>18</v>
      </c>
      <c r="EW74" s="22" t="s">
        <v>24</v>
      </c>
      <c r="EX74" s="22" t="s">
        <v>11</v>
      </c>
      <c r="EY74" s="22" t="s">
        <v>12</v>
      </c>
      <c r="EZ74" s="22" t="s">
        <v>20</v>
      </c>
      <c r="FA74" s="22" t="s">
        <v>14</v>
      </c>
      <c r="FB74" s="22" t="s">
        <v>22</v>
      </c>
      <c r="FC74" s="22" t="s">
        <v>4</v>
      </c>
      <c r="FD74" s="22" t="s">
        <v>5</v>
      </c>
      <c r="FE74" s="22" t="s">
        <v>6</v>
      </c>
      <c r="FF74" s="22" t="s">
        <v>7</v>
      </c>
      <c r="FG74" s="22" t="s">
        <v>8</v>
      </c>
      <c r="FH74" s="22" t="s">
        <v>9</v>
      </c>
      <c r="FI74" s="22" t="s">
        <v>24</v>
      </c>
      <c r="FJ74" s="22" t="s">
        <v>11</v>
      </c>
      <c r="FK74" s="22" t="s">
        <v>12</v>
      </c>
      <c r="FL74" s="22" t="s">
        <v>20</v>
      </c>
      <c r="FM74" s="22" t="s">
        <v>14</v>
      </c>
      <c r="FN74" s="22" t="s">
        <v>22</v>
      </c>
      <c r="FO74" s="22" t="s">
        <v>19</v>
      </c>
      <c r="FP74" s="22" t="s">
        <v>27</v>
      </c>
      <c r="FQ74" s="22" t="s">
        <v>15</v>
      </c>
      <c r="FR74" s="22" t="s">
        <v>7</v>
      </c>
      <c r="FS74" s="22" t="s">
        <v>8</v>
      </c>
      <c r="FT74" s="22" t="s">
        <v>9</v>
      </c>
      <c r="FU74" s="22" t="s">
        <v>10</v>
      </c>
      <c r="FV74" s="22" t="s">
        <v>11</v>
      </c>
      <c r="FW74" s="22" t="s">
        <v>12</v>
      </c>
      <c r="FX74" s="22" t="s">
        <v>20</v>
      </c>
      <c r="FY74" s="22" t="s">
        <v>14</v>
      </c>
      <c r="FZ74" s="22" t="s">
        <v>16</v>
      </c>
      <c r="GA74" s="22" t="s">
        <v>19</v>
      </c>
      <c r="GB74" s="22" t="s">
        <v>5</v>
      </c>
      <c r="GC74" s="22" t="s">
        <v>6</v>
      </c>
      <c r="GD74" s="22" t="s">
        <v>7</v>
      </c>
      <c r="GE74" s="22" t="s">
        <v>8</v>
      </c>
      <c r="GF74" s="22" t="s">
        <v>9</v>
      </c>
      <c r="GG74" s="22" t="s">
        <v>24</v>
      </c>
      <c r="GH74" s="22" t="s">
        <v>11</v>
      </c>
      <c r="GI74" s="22" t="s">
        <v>12</v>
      </c>
      <c r="GJ74" s="22" t="s">
        <v>13</v>
      </c>
      <c r="GK74" s="22" t="s">
        <v>14</v>
      </c>
      <c r="GL74" s="22" t="s">
        <v>16</v>
      </c>
      <c r="GM74" s="22" t="s">
        <v>4</v>
      </c>
      <c r="GN74" s="22" t="s">
        <v>5</v>
      </c>
      <c r="GO74" s="22" t="s">
        <v>6</v>
      </c>
      <c r="GP74" s="22" t="s">
        <v>7</v>
      </c>
      <c r="GQ74" s="22" t="s">
        <v>8</v>
      </c>
      <c r="GR74" s="22" t="s">
        <v>18</v>
      </c>
      <c r="GS74" s="22" t="s">
        <v>25</v>
      </c>
      <c r="GT74" s="2"/>
      <c r="GU74" s="2"/>
      <c r="GV74" s="20" t="s">
        <v>3</v>
      </c>
      <c r="GW74" s="21" t="s">
        <v>4</v>
      </c>
      <c r="GX74" s="20" t="s">
        <v>5</v>
      </c>
      <c r="GY74" s="20" t="s">
        <v>6</v>
      </c>
      <c r="GZ74" s="20" t="s">
        <v>7</v>
      </c>
      <c r="HA74" s="20" t="s">
        <v>8</v>
      </c>
      <c r="HB74" s="20" t="s">
        <v>9</v>
      </c>
      <c r="HC74" s="20" t="s">
        <v>10</v>
      </c>
      <c r="HD74" s="20" t="s">
        <v>11</v>
      </c>
      <c r="HE74" s="20" t="s">
        <v>12</v>
      </c>
      <c r="HF74" s="20" t="s">
        <v>13</v>
      </c>
      <c r="HG74" s="20" t="s">
        <v>14</v>
      </c>
      <c r="HH74" s="20" t="s">
        <v>3</v>
      </c>
      <c r="HI74" s="20" t="s">
        <v>4</v>
      </c>
      <c r="HJ74" s="20" t="s">
        <v>5</v>
      </c>
      <c r="HK74" s="20" t="s">
        <v>15</v>
      </c>
      <c r="HL74" s="22" t="s">
        <v>7</v>
      </c>
      <c r="HM74" s="22" t="s">
        <v>8</v>
      </c>
      <c r="HN74" s="22" t="s">
        <v>9</v>
      </c>
      <c r="HO74" s="22" t="s">
        <v>10</v>
      </c>
      <c r="HP74" s="22" t="s">
        <v>11</v>
      </c>
      <c r="HQ74" s="22" t="s">
        <v>12</v>
      </c>
      <c r="HR74" s="22" t="s">
        <v>13</v>
      </c>
      <c r="HS74" s="22" t="s">
        <v>14</v>
      </c>
      <c r="HT74" s="22" t="s">
        <v>16</v>
      </c>
      <c r="HU74" s="22" t="s">
        <v>4</v>
      </c>
      <c r="HV74" s="22" t="s">
        <v>5</v>
      </c>
      <c r="HW74" s="22" t="s">
        <v>6</v>
      </c>
      <c r="HX74" s="22" t="s">
        <v>17</v>
      </c>
      <c r="HY74" s="22" t="s">
        <v>8</v>
      </c>
      <c r="HZ74" s="22" t="s">
        <v>18</v>
      </c>
      <c r="IA74" s="22" t="s">
        <v>10</v>
      </c>
      <c r="IB74" s="22" t="s">
        <v>11</v>
      </c>
      <c r="IC74" s="22" t="s">
        <v>12</v>
      </c>
      <c r="ID74" s="22" t="s">
        <v>13</v>
      </c>
      <c r="IE74" s="22" t="s">
        <v>26</v>
      </c>
      <c r="IF74" s="22" t="s">
        <v>16</v>
      </c>
      <c r="IG74" s="22" t="s">
        <v>4</v>
      </c>
      <c r="IH74" s="22" t="s">
        <v>5</v>
      </c>
      <c r="II74" s="22" t="s">
        <v>6</v>
      </c>
      <c r="IJ74" s="22" t="s">
        <v>7</v>
      </c>
      <c r="IK74" s="22" t="s">
        <v>8</v>
      </c>
      <c r="IL74" s="22" t="s">
        <v>18</v>
      </c>
      <c r="IM74" s="22" t="s">
        <v>10</v>
      </c>
      <c r="IN74" s="22" t="s">
        <v>11</v>
      </c>
      <c r="IO74" s="22" t="s">
        <v>12</v>
      </c>
      <c r="IP74" s="22" t="s">
        <v>13</v>
      </c>
      <c r="IQ74" s="22" t="s">
        <v>14</v>
      </c>
      <c r="IR74" s="22" t="s">
        <v>3</v>
      </c>
      <c r="IS74" s="22" t="s">
        <v>4</v>
      </c>
      <c r="IT74" s="22" t="s">
        <v>5</v>
      </c>
      <c r="IU74" s="22" t="s">
        <v>15</v>
      </c>
      <c r="IV74" s="22" t="s">
        <v>7</v>
      </c>
      <c r="IW74" s="22" t="s">
        <v>8</v>
      </c>
      <c r="IX74" s="22" t="s">
        <v>18</v>
      </c>
      <c r="IY74" s="22" t="s">
        <v>10</v>
      </c>
      <c r="IZ74" s="22" t="s">
        <v>11</v>
      </c>
      <c r="JA74" s="22" t="s">
        <v>12</v>
      </c>
      <c r="JB74" s="22" t="s">
        <v>20</v>
      </c>
      <c r="JC74" s="22" t="s">
        <v>21</v>
      </c>
      <c r="JD74" s="22" t="s">
        <v>16</v>
      </c>
      <c r="JE74" s="22" t="s">
        <v>4</v>
      </c>
      <c r="JF74" s="22" t="s">
        <v>5</v>
      </c>
      <c r="JG74" s="22" t="s">
        <v>6</v>
      </c>
      <c r="JH74" s="22" t="s">
        <v>7</v>
      </c>
      <c r="JI74" s="22" t="s">
        <v>8</v>
      </c>
      <c r="JJ74" s="22" t="s">
        <v>9</v>
      </c>
      <c r="JK74" s="22" t="s">
        <v>10</v>
      </c>
      <c r="JL74" s="22" t="s">
        <v>11</v>
      </c>
      <c r="JM74" s="22" t="s">
        <v>12</v>
      </c>
      <c r="JN74" s="22" t="s">
        <v>20</v>
      </c>
      <c r="JO74" s="22" t="s">
        <v>21</v>
      </c>
      <c r="JP74" s="22" t="s">
        <v>22</v>
      </c>
      <c r="JQ74" s="22" t="s">
        <v>4</v>
      </c>
      <c r="JR74" s="22" t="s">
        <v>5</v>
      </c>
      <c r="JS74" s="22" t="s">
        <v>6</v>
      </c>
      <c r="JT74" s="22" t="s">
        <v>17</v>
      </c>
      <c r="JU74" s="22" t="s">
        <v>23</v>
      </c>
      <c r="JV74" s="22" t="s">
        <v>18</v>
      </c>
      <c r="JW74" s="22" t="s">
        <v>24</v>
      </c>
      <c r="JX74" s="22" t="s">
        <v>11</v>
      </c>
      <c r="JY74" s="22" t="s">
        <v>12</v>
      </c>
      <c r="JZ74" s="22" t="s">
        <v>13</v>
      </c>
      <c r="KA74" s="22" t="s">
        <v>14</v>
      </c>
      <c r="KB74" s="22" t="s">
        <v>22</v>
      </c>
      <c r="KC74" s="22" t="s">
        <v>4</v>
      </c>
      <c r="KD74" s="22" t="s">
        <v>5</v>
      </c>
      <c r="KE74" s="22" t="s">
        <v>6</v>
      </c>
      <c r="KF74" s="22" t="s">
        <v>17</v>
      </c>
      <c r="KG74" s="22" t="s">
        <v>8</v>
      </c>
      <c r="KH74" s="22" t="s">
        <v>18</v>
      </c>
      <c r="KI74" s="22" t="s">
        <v>10</v>
      </c>
      <c r="KJ74" s="22" t="s">
        <v>11</v>
      </c>
      <c r="KK74" s="22" t="s">
        <v>12</v>
      </c>
      <c r="KL74" s="22" t="s">
        <v>20</v>
      </c>
      <c r="KM74" s="22" t="s">
        <v>21</v>
      </c>
      <c r="KN74" s="22" t="s">
        <v>16</v>
      </c>
      <c r="KO74" s="22" t="s">
        <v>19</v>
      </c>
      <c r="KP74" s="22" t="s">
        <v>5</v>
      </c>
      <c r="KQ74" s="22" t="s">
        <v>6</v>
      </c>
      <c r="KR74" s="22" t="s">
        <v>7</v>
      </c>
      <c r="KS74" s="22" t="s">
        <v>8</v>
      </c>
      <c r="KT74" s="22" t="s">
        <v>18</v>
      </c>
      <c r="KU74" s="22" t="s">
        <v>24</v>
      </c>
      <c r="KV74" s="22" t="s">
        <v>11</v>
      </c>
      <c r="KW74" s="22" t="s">
        <v>12</v>
      </c>
      <c r="KX74" s="22" t="s">
        <v>20</v>
      </c>
      <c r="KY74" s="22" t="s">
        <v>14</v>
      </c>
      <c r="KZ74" s="22" t="s">
        <v>16</v>
      </c>
      <c r="LA74" s="22" t="s">
        <v>4</v>
      </c>
      <c r="LB74" s="22" t="s">
        <v>27</v>
      </c>
      <c r="LC74" s="22" t="s">
        <v>6</v>
      </c>
      <c r="LD74" s="22" t="s">
        <v>7</v>
      </c>
      <c r="LE74" s="22" t="s">
        <v>8</v>
      </c>
      <c r="LF74" s="22" t="s">
        <v>9</v>
      </c>
      <c r="LG74" s="22" t="s">
        <v>24</v>
      </c>
      <c r="LH74" s="22" t="s">
        <v>11</v>
      </c>
      <c r="LI74" s="22" t="s">
        <v>12</v>
      </c>
      <c r="LJ74" s="22" t="s">
        <v>20</v>
      </c>
      <c r="LK74" s="22" t="s">
        <v>14</v>
      </c>
      <c r="LL74" s="22" t="s">
        <v>22</v>
      </c>
      <c r="LM74" s="22" t="s">
        <v>19</v>
      </c>
      <c r="LN74" s="22" t="s">
        <v>5</v>
      </c>
      <c r="LO74" s="22" t="s">
        <v>15</v>
      </c>
      <c r="LP74" s="22" t="s">
        <v>7</v>
      </c>
      <c r="LQ74" s="22" t="s">
        <v>8</v>
      </c>
      <c r="LR74" s="22" t="s">
        <v>18</v>
      </c>
      <c r="LS74" s="22" t="s">
        <v>10</v>
      </c>
      <c r="LT74" s="22" t="s">
        <v>11</v>
      </c>
      <c r="LU74" s="22" t="s">
        <v>12</v>
      </c>
      <c r="LV74" s="22" t="s">
        <v>13</v>
      </c>
      <c r="LW74" s="22" t="s">
        <v>14</v>
      </c>
      <c r="LX74" s="22" t="s">
        <v>22</v>
      </c>
      <c r="LY74" s="22" t="s">
        <v>4</v>
      </c>
      <c r="LZ74" s="22" t="s">
        <v>5</v>
      </c>
      <c r="MA74" s="22" t="s">
        <v>6</v>
      </c>
      <c r="MB74" s="22" t="s">
        <v>17</v>
      </c>
      <c r="MC74" s="22" t="s">
        <v>8</v>
      </c>
      <c r="MD74" s="22" t="s">
        <v>18</v>
      </c>
      <c r="ME74" s="22" t="s">
        <v>24</v>
      </c>
      <c r="MF74" s="22" t="s">
        <v>11</v>
      </c>
      <c r="MG74" s="22" t="s">
        <v>101</v>
      </c>
      <c r="MH74" s="22" t="s">
        <v>20</v>
      </c>
      <c r="MI74" s="22" t="s">
        <v>14</v>
      </c>
      <c r="MJ74" s="22" t="s">
        <v>22</v>
      </c>
      <c r="MK74" s="22" t="s">
        <v>4</v>
      </c>
      <c r="ML74" s="22" t="s">
        <v>5</v>
      </c>
      <c r="MM74" s="22" t="s">
        <v>6</v>
      </c>
      <c r="MN74" s="22" t="s">
        <v>17</v>
      </c>
      <c r="MO74" s="22" t="s">
        <v>8</v>
      </c>
      <c r="MP74" s="22" t="s">
        <v>18</v>
      </c>
      <c r="MQ74" s="22" t="s">
        <v>24</v>
      </c>
      <c r="MR74" s="22" t="s">
        <v>11</v>
      </c>
      <c r="MS74" s="22" t="s">
        <v>12</v>
      </c>
      <c r="MT74" s="22" t="s">
        <v>20</v>
      </c>
      <c r="MU74" s="22" t="s">
        <v>14</v>
      </c>
      <c r="MV74" s="22" t="s">
        <v>22</v>
      </c>
      <c r="MW74" s="22" t="s">
        <v>4</v>
      </c>
      <c r="MX74" s="22" t="s">
        <v>5</v>
      </c>
      <c r="MY74" s="22" t="s">
        <v>6</v>
      </c>
      <c r="MZ74" s="22" t="s">
        <v>7</v>
      </c>
      <c r="NA74" s="22" t="s">
        <v>8</v>
      </c>
      <c r="NB74" s="22" t="s">
        <v>18</v>
      </c>
      <c r="NC74" s="22" t="s">
        <v>24</v>
      </c>
      <c r="ND74" s="22" t="s">
        <v>11</v>
      </c>
      <c r="NE74" s="22" t="s">
        <v>12</v>
      </c>
      <c r="NF74" s="22" t="s">
        <v>20</v>
      </c>
      <c r="NG74" s="22" t="s">
        <v>14</v>
      </c>
      <c r="NH74" s="22" t="s">
        <v>22</v>
      </c>
      <c r="NI74" s="22" t="s">
        <v>19</v>
      </c>
      <c r="NJ74" s="22" t="s">
        <v>27</v>
      </c>
      <c r="NK74" s="22" t="s">
        <v>6</v>
      </c>
      <c r="NL74" s="22" t="s">
        <v>7</v>
      </c>
      <c r="NM74" s="22" t="s">
        <v>8</v>
      </c>
      <c r="NN74" s="22" t="s">
        <v>9</v>
      </c>
      <c r="NO74" s="22" t="s">
        <v>10</v>
      </c>
      <c r="NP74" s="22" t="s">
        <v>11</v>
      </c>
      <c r="NQ74" s="22" t="s">
        <v>12</v>
      </c>
      <c r="NR74" s="22" t="s">
        <v>20</v>
      </c>
      <c r="NS74" s="22" t="s">
        <v>14</v>
      </c>
      <c r="NT74" s="22" t="s">
        <v>16</v>
      </c>
      <c r="NU74" s="22" t="s">
        <v>19</v>
      </c>
      <c r="NV74" s="22" t="s">
        <v>5</v>
      </c>
      <c r="NW74" s="22" t="s">
        <v>6</v>
      </c>
      <c r="NX74" s="22" t="s">
        <v>7</v>
      </c>
      <c r="NY74" s="22" t="s">
        <v>8</v>
      </c>
      <c r="NZ74" s="22" t="s">
        <v>18</v>
      </c>
      <c r="OA74" s="22" t="s">
        <v>24</v>
      </c>
      <c r="OB74" s="22" t="s">
        <v>11</v>
      </c>
      <c r="OC74" s="22" t="s">
        <v>12</v>
      </c>
      <c r="OD74" s="22" t="s">
        <v>13</v>
      </c>
      <c r="OE74" s="22" t="s">
        <v>14</v>
      </c>
      <c r="OF74" s="22" t="s">
        <v>16</v>
      </c>
      <c r="OG74" s="22" t="s">
        <v>4</v>
      </c>
      <c r="OH74" s="22" t="s">
        <v>5</v>
      </c>
      <c r="OI74" s="22" t="s">
        <v>15</v>
      </c>
      <c r="OJ74" s="22" t="s">
        <v>7</v>
      </c>
      <c r="OK74" s="22" t="s">
        <v>8</v>
      </c>
      <c r="OL74" s="22" t="s">
        <v>18</v>
      </c>
    </row>
    <row r="75" spans="1:402" s="145" customFormat="1" ht="19.5" customHeight="1" x14ac:dyDescent="0.35">
      <c r="A75" s="12" t="s">
        <v>29</v>
      </c>
      <c r="B75" s="156">
        <v>252</v>
      </c>
      <c r="C75" s="156">
        <v>274</v>
      </c>
      <c r="D75" s="156">
        <v>291</v>
      </c>
      <c r="E75" s="156">
        <v>292</v>
      </c>
      <c r="F75" s="156">
        <f>'[1]Jan 08'!C29</f>
        <v>353</v>
      </c>
      <c r="G75" s="143">
        <f>'[1]Feb 08'!C29</f>
        <v>363</v>
      </c>
      <c r="H75" s="143">
        <f>'[1]Mar 08'!C29</f>
        <v>373</v>
      </c>
      <c r="I75" s="143">
        <v>379</v>
      </c>
      <c r="J75" s="143">
        <f>'[1]May 08'!C29</f>
        <v>361</v>
      </c>
      <c r="K75" s="143">
        <f>'[1]Jun 08'!C29</f>
        <v>337</v>
      </c>
      <c r="L75" s="143">
        <f>'[1]Jul 08'!C29</f>
        <v>335</v>
      </c>
      <c r="M75" s="143">
        <f>'[1]Aug 08'!C29</f>
        <v>328</v>
      </c>
      <c r="N75" s="143">
        <v>341</v>
      </c>
      <c r="O75" s="143">
        <v>348</v>
      </c>
      <c r="P75" s="143">
        <v>371</v>
      </c>
      <c r="Q75" s="143">
        <v>357</v>
      </c>
      <c r="R75" s="143">
        <v>365</v>
      </c>
      <c r="S75" s="143">
        <v>356</v>
      </c>
      <c r="T75" s="143">
        <v>350</v>
      </c>
      <c r="U75" s="143">
        <v>336</v>
      </c>
      <c r="V75" s="143">
        <v>317</v>
      </c>
      <c r="W75" s="143">
        <v>254</v>
      </c>
      <c r="X75" s="143">
        <v>237</v>
      </c>
      <c r="Y75" s="143">
        <v>222</v>
      </c>
      <c r="Z75" s="143">
        <v>227</v>
      </c>
      <c r="AA75" s="143">
        <v>241</v>
      </c>
      <c r="AB75" s="143">
        <v>247</v>
      </c>
      <c r="AC75" s="143">
        <v>238</v>
      </c>
      <c r="AD75" s="143">
        <v>227</v>
      </c>
      <c r="AE75" s="143">
        <v>220</v>
      </c>
      <c r="AF75" s="143">
        <v>207</v>
      </c>
      <c r="AG75" s="143">
        <v>186</v>
      </c>
      <c r="AH75" s="143">
        <v>174</v>
      </c>
      <c r="AI75" s="143">
        <v>156</v>
      </c>
      <c r="AJ75" s="143">
        <v>147</v>
      </c>
      <c r="AK75" s="143">
        <v>141</v>
      </c>
      <c r="AL75" s="143">
        <v>169</v>
      </c>
      <c r="AM75" s="143">
        <v>163</v>
      </c>
      <c r="AN75" s="143">
        <v>161</v>
      </c>
      <c r="AO75" s="143">
        <v>160</v>
      </c>
      <c r="AP75" s="143">
        <v>163</v>
      </c>
      <c r="AQ75" s="143">
        <v>157</v>
      </c>
      <c r="AR75" s="143">
        <v>150</v>
      </c>
      <c r="AS75" s="143">
        <v>145</v>
      </c>
      <c r="AT75" s="143">
        <v>128</v>
      </c>
      <c r="AU75" s="143">
        <v>106</v>
      </c>
      <c r="AV75" s="143">
        <v>106</v>
      </c>
      <c r="AW75" s="143">
        <v>103</v>
      </c>
      <c r="AX75" s="143">
        <v>111</v>
      </c>
      <c r="AY75" s="143">
        <v>131</v>
      </c>
      <c r="AZ75" s="143">
        <v>141</v>
      </c>
      <c r="BA75" s="143">
        <v>138</v>
      </c>
      <c r="BB75" s="143">
        <v>136</v>
      </c>
      <c r="BC75" s="143">
        <v>139</v>
      </c>
      <c r="BD75" s="143">
        <v>144</v>
      </c>
      <c r="BE75" s="143">
        <v>141</v>
      </c>
      <c r="BF75" s="143">
        <v>134</v>
      </c>
      <c r="BG75" s="143">
        <v>118</v>
      </c>
      <c r="BH75" s="143">
        <v>106</v>
      </c>
      <c r="BI75" s="143">
        <v>86</v>
      </c>
      <c r="BJ75" s="143">
        <v>93</v>
      </c>
      <c r="BK75" s="143">
        <v>101</v>
      </c>
      <c r="BL75" s="143">
        <v>109</v>
      </c>
      <c r="BM75" s="143">
        <v>104</v>
      </c>
      <c r="BN75" s="143">
        <v>108</v>
      </c>
      <c r="BO75" s="143">
        <v>112</v>
      </c>
      <c r="BP75" s="143">
        <v>116</v>
      </c>
      <c r="BQ75" s="143">
        <v>115</v>
      </c>
      <c r="BR75" s="143">
        <v>109</v>
      </c>
      <c r="BS75" s="143">
        <v>89</v>
      </c>
      <c r="BT75" s="143">
        <v>82</v>
      </c>
      <c r="BU75" s="143">
        <v>87</v>
      </c>
      <c r="BV75" s="143">
        <v>111</v>
      </c>
      <c r="BW75" s="143">
        <v>142</v>
      </c>
      <c r="BX75" s="143">
        <v>163</v>
      </c>
      <c r="BY75" s="143">
        <v>162</v>
      </c>
      <c r="BZ75" s="143">
        <v>183</v>
      </c>
      <c r="CA75" s="143">
        <v>177</v>
      </c>
      <c r="CB75" s="143">
        <v>158</v>
      </c>
      <c r="CC75" s="143">
        <v>148</v>
      </c>
      <c r="CD75" s="143">
        <v>141</v>
      </c>
      <c r="CE75" s="143">
        <v>119</v>
      </c>
      <c r="CF75" s="143">
        <v>113</v>
      </c>
      <c r="CG75" s="143">
        <v>111</v>
      </c>
      <c r="CH75" s="143">
        <v>129</v>
      </c>
      <c r="CI75" s="143">
        <v>155</v>
      </c>
      <c r="CJ75" s="143">
        <v>167</v>
      </c>
      <c r="CK75" s="143">
        <v>165</v>
      </c>
      <c r="CL75" s="143">
        <v>183</v>
      </c>
      <c r="CM75" s="143">
        <v>184</v>
      </c>
      <c r="CN75" s="143">
        <v>173</v>
      </c>
      <c r="CO75" s="143">
        <v>181</v>
      </c>
      <c r="CP75" s="143">
        <v>176</v>
      </c>
      <c r="CQ75" s="143">
        <v>151</v>
      </c>
      <c r="CR75" s="143">
        <v>124</v>
      </c>
      <c r="CS75" s="143">
        <v>119</v>
      </c>
      <c r="CT75" s="143">
        <v>144</v>
      </c>
      <c r="CU75" s="143">
        <v>176</v>
      </c>
      <c r="CV75" s="143">
        <v>191</v>
      </c>
      <c r="CW75" s="143">
        <v>199</v>
      </c>
      <c r="CX75" s="143">
        <v>212</v>
      </c>
      <c r="CY75" s="143">
        <v>206</v>
      </c>
      <c r="CZ75" s="143">
        <v>207</v>
      </c>
      <c r="DA75" s="143">
        <v>185</v>
      </c>
      <c r="DB75" s="143">
        <v>168</v>
      </c>
      <c r="DC75" s="143">
        <v>143</v>
      </c>
      <c r="DD75" s="143">
        <v>132</v>
      </c>
      <c r="DE75" s="143">
        <v>136</v>
      </c>
      <c r="DF75" s="143">
        <v>140</v>
      </c>
      <c r="DG75" s="143">
        <v>171</v>
      </c>
      <c r="DH75" s="143">
        <v>175</v>
      </c>
      <c r="DI75" s="143">
        <v>174</v>
      </c>
      <c r="DJ75" s="143">
        <v>187</v>
      </c>
      <c r="DK75" s="143">
        <v>195</v>
      </c>
      <c r="DL75" s="143">
        <v>206</v>
      </c>
      <c r="DM75" s="143">
        <v>204</v>
      </c>
      <c r="DN75" s="143">
        <v>189</v>
      </c>
      <c r="DO75" s="143">
        <v>151</v>
      </c>
      <c r="DP75" s="143">
        <v>137</v>
      </c>
      <c r="DQ75" s="143">
        <v>140</v>
      </c>
      <c r="DR75" s="143">
        <v>136</v>
      </c>
      <c r="DS75" s="143">
        <v>166</v>
      </c>
      <c r="DT75" s="143">
        <v>177</v>
      </c>
      <c r="DU75" s="143">
        <v>177</v>
      </c>
      <c r="DV75" s="143">
        <v>182</v>
      </c>
      <c r="DW75" s="143">
        <v>198</v>
      </c>
      <c r="DX75" s="143">
        <v>207</v>
      </c>
      <c r="DY75" s="143">
        <v>194</v>
      </c>
      <c r="DZ75" s="143">
        <v>170</v>
      </c>
      <c r="EA75" s="143">
        <v>144</v>
      </c>
      <c r="EB75" s="143">
        <v>124</v>
      </c>
      <c r="EC75" s="143">
        <v>114</v>
      </c>
      <c r="ED75" s="143">
        <v>118</v>
      </c>
      <c r="EE75" s="143">
        <v>132</v>
      </c>
      <c r="EF75" s="143">
        <v>136</v>
      </c>
      <c r="EG75" s="143">
        <v>125</v>
      </c>
      <c r="EH75" s="143">
        <v>151</v>
      </c>
      <c r="EI75" s="143">
        <v>162</v>
      </c>
      <c r="EJ75" s="143">
        <v>184</v>
      </c>
      <c r="EK75" s="143">
        <v>184</v>
      </c>
      <c r="EL75" s="143">
        <v>182</v>
      </c>
      <c r="EM75" s="143">
        <v>147</v>
      </c>
      <c r="EN75" s="143">
        <v>128</v>
      </c>
      <c r="EO75" s="143">
        <v>128</v>
      </c>
      <c r="EP75" s="143">
        <v>141</v>
      </c>
      <c r="EQ75" s="143">
        <v>160</v>
      </c>
      <c r="ER75" s="143">
        <v>169</v>
      </c>
      <c r="ES75" s="143">
        <v>163</v>
      </c>
      <c r="ET75" s="143">
        <v>153</v>
      </c>
      <c r="EU75" s="143">
        <v>148</v>
      </c>
      <c r="EV75" s="143">
        <v>153</v>
      </c>
      <c r="EW75" s="143">
        <v>155</v>
      </c>
      <c r="EX75" s="143">
        <v>159</v>
      </c>
      <c r="EY75" s="143">
        <v>144</v>
      </c>
      <c r="EZ75" s="143">
        <v>136</v>
      </c>
      <c r="FA75" s="143">
        <v>135</v>
      </c>
      <c r="FB75" s="143">
        <v>161</v>
      </c>
      <c r="FC75" s="143">
        <v>151</v>
      </c>
      <c r="FD75" s="143">
        <v>136</v>
      </c>
      <c r="FE75" s="143">
        <v>124</v>
      </c>
      <c r="FF75" s="143">
        <v>103</v>
      </c>
      <c r="FG75" s="143">
        <v>99</v>
      </c>
      <c r="FH75" s="143">
        <v>80</v>
      </c>
      <c r="FI75" s="143">
        <v>79</v>
      </c>
      <c r="FJ75" s="143">
        <v>77</v>
      </c>
      <c r="FK75" s="143">
        <v>85</v>
      </c>
      <c r="FL75" s="143">
        <v>81</v>
      </c>
      <c r="FM75" s="143">
        <v>68</v>
      </c>
      <c r="FN75" s="143">
        <v>62</v>
      </c>
      <c r="FO75" s="143">
        <v>66</v>
      </c>
      <c r="FP75" s="143">
        <v>57</v>
      </c>
      <c r="FQ75" s="143">
        <v>40</v>
      </c>
      <c r="FR75" s="143">
        <v>38</v>
      </c>
      <c r="FS75" s="143">
        <v>43</v>
      </c>
      <c r="FT75" s="143">
        <v>49</v>
      </c>
      <c r="FU75" s="143">
        <v>64</v>
      </c>
      <c r="FV75" s="143">
        <v>90</v>
      </c>
      <c r="FW75" s="143">
        <v>113</v>
      </c>
      <c r="FX75" s="143">
        <v>109</v>
      </c>
      <c r="FY75" s="143">
        <v>106</v>
      </c>
      <c r="FZ75" s="143">
        <v>130</v>
      </c>
      <c r="GA75" s="143">
        <v>144</v>
      </c>
      <c r="GB75" s="143">
        <v>129</v>
      </c>
      <c r="GC75" s="143">
        <v>109</v>
      </c>
      <c r="GD75" s="143">
        <v>137</v>
      </c>
      <c r="GE75" s="143">
        <v>157</v>
      </c>
      <c r="GF75" s="143">
        <v>157</v>
      </c>
      <c r="GG75" s="143">
        <v>151</v>
      </c>
      <c r="GH75" s="143">
        <v>143</v>
      </c>
      <c r="GI75" s="143">
        <v>123</v>
      </c>
      <c r="GJ75" s="143">
        <v>122</v>
      </c>
      <c r="GK75" s="143">
        <v>124</v>
      </c>
      <c r="GL75" s="143">
        <v>135</v>
      </c>
      <c r="GM75" s="143">
        <v>158</v>
      </c>
      <c r="GN75" s="143">
        <v>173</v>
      </c>
      <c r="GO75" s="143">
        <v>152</v>
      </c>
      <c r="GP75" s="143">
        <v>200</v>
      </c>
      <c r="GQ75" s="143">
        <v>218</v>
      </c>
      <c r="GR75" s="143">
        <v>204</v>
      </c>
      <c r="GS75" s="143">
        <f>SUM(B75:GR75)/198</f>
        <v>166.64646464646464</v>
      </c>
      <c r="GT75" s="152"/>
      <c r="GU75" s="12" t="s">
        <v>29</v>
      </c>
      <c r="GV75" s="145" t="s">
        <v>30</v>
      </c>
      <c r="GW75" s="145">
        <f t="shared" ref="GW75:IB75" si="100">(C75-B75)/B75</f>
        <v>8.7301587301587297E-2</v>
      </c>
      <c r="GX75" s="145">
        <f t="shared" si="100"/>
        <v>6.2043795620437957E-2</v>
      </c>
      <c r="GY75" s="145">
        <f t="shared" si="100"/>
        <v>3.4364261168384879E-3</v>
      </c>
      <c r="GZ75" s="145">
        <f t="shared" si="100"/>
        <v>0.2089041095890411</v>
      </c>
      <c r="HA75" s="145">
        <f t="shared" si="100"/>
        <v>2.8328611898016998E-2</v>
      </c>
      <c r="HB75" s="145">
        <f t="shared" si="100"/>
        <v>2.7548209366391185E-2</v>
      </c>
      <c r="HC75" s="145">
        <f t="shared" si="100"/>
        <v>1.6085790884718499E-2</v>
      </c>
      <c r="HD75" s="145">
        <f t="shared" si="100"/>
        <v>-4.7493403693931395E-2</v>
      </c>
      <c r="HE75" s="145">
        <f t="shared" si="100"/>
        <v>-6.6481994459833799E-2</v>
      </c>
      <c r="HF75" s="145">
        <f t="shared" si="100"/>
        <v>-5.9347181008902079E-3</v>
      </c>
      <c r="HG75" s="145">
        <f t="shared" si="100"/>
        <v>-2.0895522388059702E-2</v>
      </c>
      <c r="HH75" s="145">
        <f t="shared" si="100"/>
        <v>3.9634146341463415E-2</v>
      </c>
      <c r="HI75" s="145">
        <f t="shared" si="100"/>
        <v>2.0527859237536656E-2</v>
      </c>
      <c r="HJ75" s="145">
        <f t="shared" si="100"/>
        <v>6.6091954022988508E-2</v>
      </c>
      <c r="HK75" s="145">
        <f t="shared" si="100"/>
        <v>-3.7735849056603772E-2</v>
      </c>
      <c r="HL75" s="145">
        <f t="shared" si="100"/>
        <v>2.2408963585434174E-2</v>
      </c>
      <c r="HM75" s="145">
        <f t="shared" si="100"/>
        <v>-2.4657534246575342E-2</v>
      </c>
      <c r="HN75" s="145">
        <f t="shared" si="100"/>
        <v>-1.6853932584269662E-2</v>
      </c>
      <c r="HO75" s="145">
        <f t="shared" si="100"/>
        <v>-0.04</v>
      </c>
      <c r="HP75" s="145">
        <f t="shared" si="100"/>
        <v>-5.6547619047619048E-2</v>
      </c>
      <c r="HQ75" s="145">
        <f t="shared" si="100"/>
        <v>-0.19873817034700317</v>
      </c>
      <c r="HR75" s="145">
        <f t="shared" si="100"/>
        <v>-6.6929133858267723E-2</v>
      </c>
      <c r="HS75" s="145">
        <f t="shared" si="100"/>
        <v>-6.3291139240506333E-2</v>
      </c>
      <c r="HT75" s="145">
        <f t="shared" si="100"/>
        <v>2.2522522522522521E-2</v>
      </c>
      <c r="HU75" s="145">
        <f t="shared" si="100"/>
        <v>6.1674008810572688E-2</v>
      </c>
      <c r="HV75" s="145">
        <f t="shared" si="100"/>
        <v>2.4896265560165973E-2</v>
      </c>
      <c r="HW75" s="145">
        <f t="shared" si="100"/>
        <v>-3.643724696356275E-2</v>
      </c>
      <c r="HX75" s="145">
        <f t="shared" si="100"/>
        <v>-4.6218487394957986E-2</v>
      </c>
      <c r="HY75" s="145">
        <f t="shared" si="100"/>
        <v>-3.0837004405286344E-2</v>
      </c>
      <c r="HZ75" s="145">
        <f t="shared" si="100"/>
        <v>-5.909090909090909E-2</v>
      </c>
      <c r="IA75" s="145">
        <f t="shared" si="100"/>
        <v>-0.10144927536231885</v>
      </c>
      <c r="IB75" s="145">
        <f t="shared" si="100"/>
        <v>-6.4516129032258063E-2</v>
      </c>
      <c r="IC75" s="145">
        <f t="shared" ref="IC75:JH75" si="101">(AI75-AH75)/AH75</f>
        <v>-0.10344827586206896</v>
      </c>
      <c r="ID75" s="145">
        <f t="shared" si="101"/>
        <v>-5.7692307692307696E-2</v>
      </c>
      <c r="IE75" s="145">
        <f t="shared" si="101"/>
        <v>-4.0816326530612242E-2</v>
      </c>
      <c r="IF75" s="145">
        <f t="shared" si="101"/>
        <v>0.19858156028368795</v>
      </c>
      <c r="IG75" s="145">
        <f t="shared" si="101"/>
        <v>-3.5502958579881658E-2</v>
      </c>
      <c r="IH75" s="145">
        <f t="shared" si="101"/>
        <v>-1.2269938650306749E-2</v>
      </c>
      <c r="II75" s="145">
        <f t="shared" si="101"/>
        <v>-6.2111801242236021E-3</v>
      </c>
      <c r="IJ75" s="145">
        <f t="shared" si="101"/>
        <v>1.8749999999999999E-2</v>
      </c>
      <c r="IK75" s="145">
        <f t="shared" si="101"/>
        <v>-3.6809815950920248E-2</v>
      </c>
      <c r="IL75" s="145">
        <f t="shared" si="101"/>
        <v>-4.4585987261146494E-2</v>
      </c>
      <c r="IM75" s="145">
        <f t="shared" si="101"/>
        <v>-3.3333333333333333E-2</v>
      </c>
      <c r="IN75" s="145">
        <f t="shared" si="101"/>
        <v>-0.11724137931034483</v>
      </c>
      <c r="IO75" s="145">
        <f t="shared" si="101"/>
        <v>-0.171875</v>
      </c>
      <c r="IP75" s="145">
        <f t="shared" si="101"/>
        <v>0</v>
      </c>
      <c r="IQ75" s="145">
        <f t="shared" si="101"/>
        <v>-2.8301886792452831E-2</v>
      </c>
      <c r="IR75" s="145">
        <f t="shared" si="101"/>
        <v>7.7669902912621352E-2</v>
      </c>
      <c r="IS75" s="145">
        <f t="shared" si="101"/>
        <v>0.18018018018018017</v>
      </c>
      <c r="IT75" s="145">
        <f t="shared" si="101"/>
        <v>7.6335877862595422E-2</v>
      </c>
      <c r="IU75" s="145">
        <f t="shared" si="101"/>
        <v>-2.1276595744680851E-2</v>
      </c>
      <c r="IV75" s="145">
        <f t="shared" si="101"/>
        <v>-1.4492753623188406E-2</v>
      </c>
      <c r="IW75" s="145">
        <f t="shared" si="101"/>
        <v>2.2058823529411766E-2</v>
      </c>
      <c r="IX75" s="145">
        <f t="shared" si="101"/>
        <v>3.5971223021582732E-2</v>
      </c>
      <c r="IY75" s="145">
        <f t="shared" si="101"/>
        <v>-2.0833333333333332E-2</v>
      </c>
      <c r="IZ75" s="145">
        <f t="shared" si="101"/>
        <v>-4.9645390070921988E-2</v>
      </c>
      <c r="JA75" s="145">
        <f t="shared" si="101"/>
        <v>-0.11940298507462686</v>
      </c>
      <c r="JB75" s="145">
        <f t="shared" si="101"/>
        <v>-0.10169491525423729</v>
      </c>
      <c r="JC75" s="145">
        <f t="shared" si="101"/>
        <v>-0.18867924528301888</v>
      </c>
      <c r="JD75" s="145">
        <f t="shared" si="101"/>
        <v>8.1395348837209308E-2</v>
      </c>
      <c r="JE75" s="145">
        <f t="shared" si="101"/>
        <v>8.6021505376344093E-2</v>
      </c>
      <c r="JF75" s="145">
        <f t="shared" si="101"/>
        <v>7.9207920792079209E-2</v>
      </c>
      <c r="JG75" s="145">
        <f t="shared" si="101"/>
        <v>-4.5871559633027525E-2</v>
      </c>
      <c r="JH75" s="145">
        <f t="shared" si="101"/>
        <v>3.8461538461538464E-2</v>
      </c>
      <c r="JI75" s="145">
        <f t="shared" ref="JI75:KN75" si="102">(BO75-BN75)/BN75</f>
        <v>3.7037037037037035E-2</v>
      </c>
      <c r="JJ75" s="145">
        <f t="shared" si="102"/>
        <v>3.5714285714285712E-2</v>
      </c>
      <c r="JK75" s="145">
        <f t="shared" si="102"/>
        <v>-8.6206896551724137E-3</v>
      </c>
      <c r="JL75" s="145">
        <f t="shared" si="102"/>
        <v>-5.2173913043478258E-2</v>
      </c>
      <c r="JM75" s="145">
        <f t="shared" si="102"/>
        <v>-0.1834862385321101</v>
      </c>
      <c r="JN75" s="145">
        <f t="shared" si="102"/>
        <v>-7.8651685393258425E-2</v>
      </c>
      <c r="JO75" s="145">
        <f t="shared" si="102"/>
        <v>6.097560975609756E-2</v>
      </c>
      <c r="JP75" s="145">
        <f t="shared" si="102"/>
        <v>0.27586206896551724</v>
      </c>
      <c r="JQ75" s="145">
        <f t="shared" si="102"/>
        <v>0.27927927927927926</v>
      </c>
      <c r="JR75" s="145">
        <f t="shared" si="102"/>
        <v>0.14788732394366197</v>
      </c>
      <c r="JS75" s="145">
        <f t="shared" si="102"/>
        <v>-6.1349693251533744E-3</v>
      </c>
      <c r="JT75" s="145">
        <f t="shared" si="102"/>
        <v>0.12962962962962962</v>
      </c>
      <c r="JU75" s="145">
        <f t="shared" si="102"/>
        <v>-3.2786885245901641E-2</v>
      </c>
      <c r="JV75" s="145">
        <f t="shared" si="102"/>
        <v>-0.10734463276836158</v>
      </c>
      <c r="JW75" s="145">
        <f t="shared" si="102"/>
        <v>-6.3291139240506333E-2</v>
      </c>
      <c r="JX75" s="145">
        <f t="shared" si="102"/>
        <v>-4.72972972972973E-2</v>
      </c>
      <c r="JY75" s="145">
        <f t="shared" si="102"/>
        <v>-0.15602836879432624</v>
      </c>
      <c r="JZ75" s="145">
        <f t="shared" si="102"/>
        <v>-5.0420168067226892E-2</v>
      </c>
      <c r="KA75" s="145">
        <f t="shared" si="102"/>
        <v>-1.7699115044247787E-2</v>
      </c>
      <c r="KB75" s="145">
        <f t="shared" si="102"/>
        <v>0.16216216216216217</v>
      </c>
      <c r="KC75" s="145">
        <f t="shared" si="102"/>
        <v>0.20155038759689922</v>
      </c>
      <c r="KD75" s="145">
        <f t="shared" si="102"/>
        <v>7.7419354838709681E-2</v>
      </c>
      <c r="KE75" s="145">
        <f t="shared" si="102"/>
        <v>-1.1976047904191617E-2</v>
      </c>
      <c r="KF75" s="145">
        <f t="shared" si="102"/>
        <v>0.10909090909090909</v>
      </c>
      <c r="KG75" s="145">
        <f t="shared" si="102"/>
        <v>5.4644808743169399E-3</v>
      </c>
      <c r="KH75" s="145">
        <f t="shared" si="102"/>
        <v>-5.9782608695652176E-2</v>
      </c>
      <c r="KI75" s="145">
        <f t="shared" si="102"/>
        <v>4.6242774566473986E-2</v>
      </c>
      <c r="KJ75" s="145">
        <f t="shared" si="102"/>
        <v>-2.7624309392265192E-2</v>
      </c>
      <c r="KK75" s="145">
        <f t="shared" si="102"/>
        <v>-0.14204545454545456</v>
      </c>
      <c r="KL75" s="145">
        <f t="shared" si="102"/>
        <v>-0.17880794701986755</v>
      </c>
      <c r="KM75" s="145">
        <f t="shared" si="102"/>
        <v>-4.0322580645161289E-2</v>
      </c>
      <c r="KN75" s="145">
        <f t="shared" si="102"/>
        <v>0.21008403361344538</v>
      </c>
      <c r="KO75" s="145">
        <f t="shared" ref="KO75:LT75" si="103">(CU75-CT75)/CT75</f>
        <v>0.22222222222222221</v>
      </c>
      <c r="KP75" s="145">
        <f t="shared" si="103"/>
        <v>8.5227272727272721E-2</v>
      </c>
      <c r="KQ75" s="145">
        <f t="shared" si="103"/>
        <v>4.1884816753926704E-2</v>
      </c>
      <c r="KR75" s="145">
        <f t="shared" si="103"/>
        <v>6.5326633165829151E-2</v>
      </c>
      <c r="KS75" s="145">
        <f t="shared" si="103"/>
        <v>-2.8301886792452831E-2</v>
      </c>
      <c r="KT75" s="145">
        <f t="shared" si="103"/>
        <v>4.8543689320388345E-3</v>
      </c>
      <c r="KU75" s="145">
        <f t="shared" si="103"/>
        <v>-0.10628019323671498</v>
      </c>
      <c r="KV75" s="145">
        <f t="shared" si="103"/>
        <v>-9.1891891891891897E-2</v>
      </c>
      <c r="KW75" s="145">
        <f t="shared" si="103"/>
        <v>-0.14880952380952381</v>
      </c>
      <c r="KX75" s="145">
        <f t="shared" si="103"/>
        <v>-7.6923076923076927E-2</v>
      </c>
      <c r="KY75" s="145">
        <f t="shared" si="103"/>
        <v>3.0303030303030304E-2</v>
      </c>
      <c r="KZ75" s="145">
        <f t="shared" si="103"/>
        <v>2.9411764705882353E-2</v>
      </c>
      <c r="LA75" s="145">
        <f t="shared" si="103"/>
        <v>0.22142857142857142</v>
      </c>
      <c r="LB75" s="145">
        <f t="shared" si="103"/>
        <v>2.3391812865497075E-2</v>
      </c>
      <c r="LC75" s="145">
        <f t="shared" si="103"/>
        <v>-5.7142857142857143E-3</v>
      </c>
      <c r="LD75" s="145">
        <f t="shared" si="103"/>
        <v>7.4712643678160925E-2</v>
      </c>
      <c r="LE75" s="145">
        <f t="shared" si="103"/>
        <v>4.2780748663101602E-2</v>
      </c>
      <c r="LF75" s="145">
        <f t="shared" si="103"/>
        <v>5.6410256410256411E-2</v>
      </c>
      <c r="LG75" s="145">
        <f t="shared" si="103"/>
        <v>-9.7087378640776691E-3</v>
      </c>
      <c r="LH75" s="145">
        <f t="shared" si="103"/>
        <v>-7.3529411764705885E-2</v>
      </c>
      <c r="LI75" s="145">
        <f t="shared" si="103"/>
        <v>-0.20105820105820105</v>
      </c>
      <c r="LJ75" s="145">
        <f t="shared" si="103"/>
        <v>-9.2715231788079472E-2</v>
      </c>
      <c r="LK75" s="145">
        <f t="shared" si="103"/>
        <v>2.1897810218978103E-2</v>
      </c>
      <c r="LL75" s="145">
        <f t="shared" si="103"/>
        <v>-2.8571428571428571E-2</v>
      </c>
      <c r="LM75" s="145">
        <f t="shared" si="103"/>
        <v>0.22058823529411764</v>
      </c>
      <c r="LN75" s="145">
        <f t="shared" si="103"/>
        <v>6.6265060240963861E-2</v>
      </c>
      <c r="LO75" s="145">
        <f t="shared" si="103"/>
        <v>0</v>
      </c>
      <c r="LP75" s="145">
        <f t="shared" si="103"/>
        <v>2.8248587570621469E-2</v>
      </c>
      <c r="LQ75" s="145">
        <f t="shared" si="103"/>
        <v>8.7912087912087919E-2</v>
      </c>
      <c r="LR75" s="145">
        <f t="shared" si="103"/>
        <v>4.5454545454545456E-2</v>
      </c>
      <c r="LS75" s="145">
        <f t="shared" si="103"/>
        <v>-6.280193236714976E-2</v>
      </c>
      <c r="LT75" s="145">
        <f t="shared" si="103"/>
        <v>-0.12371134020618557</v>
      </c>
      <c r="LU75" s="145">
        <f t="shared" ref="LU75:MR75" si="104">(EA75-DZ75)/DZ75</f>
        <v>-0.15294117647058825</v>
      </c>
      <c r="LV75" s="145">
        <f t="shared" si="104"/>
        <v>-0.1388888888888889</v>
      </c>
      <c r="LW75" s="145">
        <f t="shared" si="104"/>
        <v>-8.0645161290322578E-2</v>
      </c>
      <c r="LX75" s="145">
        <f t="shared" si="104"/>
        <v>3.5087719298245612E-2</v>
      </c>
      <c r="LY75" s="145">
        <f t="shared" si="104"/>
        <v>0.11864406779661017</v>
      </c>
      <c r="LZ75" s="145">
        <f t="shared" si="104"/>
        <v>3.0303030303030304E-2</v>
      </c>
      <c r="MA75" s="145">
        <f t="shared" si="104"/>
        <v>-8.0882352941176475E-2</v>
      </c>
      <c r="MB75" s="145">
        <f t="shared" si="104"/>
        <v>0.20799999999999999</v>
      </c>
      <c r="MC75" s="145">
        <f t="shared" si="104"/>
        <v>7.2847682119205295E-2</v>
      </c>
      <c r="MD75" s="145">
        <f t="shared" si="104"/>
        <v>0.13580246913580246</v>
      </c>
      <c r="ME75" s="145">
        <f t="shared" si="104"/>
        <v>0</v>
      </c>
      <c r="MF75" s="145">
        <f t="shared" si="104"/>
        <v>-1.0869565217391304E-2</v>
      </c>
      <c r="MG75" s="145">
        <f t="shared" si="104"/>
        <v>-0.19230769230769232</v>
      </c>
      <c r="MH75" s="145">
        <f t="shared" si="104"/>
        <v>-0.12925170068027211</v>
      </c>
      <c r="MI75" s="145">
        <f t="shared" si="104"/>
        <v>0</v>
      </c>
      <c r="MJ75" s="145">
        <f t="shared" si="104"/>
        <v>0.1015625</v>
      </c>
      <c r="MK75" s="145">
        <f t="shared" si="104"/>
        <v>0.13475177304964539</v>
      </c>
      <c r="ML75" s="145">
        <f t="shared" si="104"/>
        <v>5.6250000000000001E-2</v>
      </c>
      <c r="MM75" s="145">
        <f t="shared" si="104"/>
        <v>-3.5502958579881658E-2</v>
      </c>
      <c r="MN75" s="145">
        <f t="shared" si="104"/>
        <v>-6.1349693251533742E-2</v>
      </c>
      <c r="MO75" s="145">
        <f t="shared" si="104"/>
        <v>-3.2679738562091505E-2</v>
      </c>
      <c r="MP75" s="145">
        <f t="shared" si="104"/>
        <v>3.3783783783783786E-2</v>
      </c>
      <c r="MQ75" s="145">
        <f t="shared" si="104"/>
        <v>1.3071895424836602E-2</v>
      </c>
      <c r="MR75" s="145">
        <f t="shared" si="104"/>
        <v>2.5806451612903226E-2</v>
      </c>
      <c r="MS75" s="145">
        <f>(EZ75-EY75)/EY75</f>
        <v>-5.5555555555555552E-2</v>
      </c>
      <c r="MT75" s="145">
        <f t="shared" ref="MT75:NC79" si="105">(EZ75-EY75)/EZ75</f>
        <v>-5.8823529411764705E-2</v>
      </c>
      <c r="MU75" s="145">
        <f t="shared" si="105"/>
        <v>-7.4074074074074077E-3</v>
      </c>
      <c r="MV75" s="145">
        <f t="shared" si="105"/>
        <v>0.16149068322981366</v>
      </c>
      <c r="MW75" s="145">
        <f t="shared" si="105"/>
        <v>-6.6225165562913912E-2</v>
      </c>
      <c r="MX75" s="145">
        <f t="shared" si="105"/>
        <v>-0.11029411764705882</v>
      </c>
      <c r="MY75" s="145">
        <f t="shared" si="105"/>
        <v>-9.6774193548387094E-2</v>
      </c>
      <c r="MZ75" s="145">
        <f t="shared" si="105"/>
        <v>-0.20388349514563106</v>
      </c>
      <c r="NA75" s="145">
        <f t="shared" si="105"/>
        <v>-4.0404040404040407E-2</v>
      </c>
      <c r="NB75" s="145">
        <f t="shared" si="105"/>
        <v>-0.23749999999999999</v>
      </c>
      <c r="NC75" s="145">
        <f t="shared" si="105"/>
        <v>-1.2658227848101266E-2</v>
      </c>
      <c r="ND75" s="145">
        <f t="shared" ref="ND75:NM79" si="106">(FJ75-FI75)/FJ75</f>
        <v>-2.5974025974025976E-2</v>
      </c>
      <c r="NE75" s="145">
        <f t="shared" si="106"/>
        <v>9.4117647058823528E-2</v>
      </c>
      <c r="NF75" s="145">
        <f t="shared" si="106"/>
        <v>-4.9382716049382713E-2</v>
      </c>
      <c r="NG75" s="145">
        <f t="shared" si="106"/>
        <v>-0.19117647058823528</v>
      </c>
      <c r="NH75" s="145">
        <f t="shared" si="106"/>
        <v>-9.6774193548387094E-2</v>
      </c>
      <c r="NI75" s="145">
        <f t="shared" si="106"/>
        <v>6.0606060606060608E-2</v>
      </c>
      <c r="NJ75" s="145">
        <f t="shared" si="106"/>
        <v>-0.15789473684210525</v>
      </c>
      <c r="NK75" s="145">
        <f t="shared" si="106"/>
        <v>-0.42499999999999999</v>
      </c>
      <c r="NL75" s="145">
        <f t="shared" si="106"/>
        <v>-5.2631578947368418E-2</v>
      </c>
      <c r="NM75" s="145">
        <f t="shared" si="106"/>
        <v>0.11627906976744186</v>
      </c>
      <c r="NN75" s="145">
        <f t="shared" ref="NN75:NW79" si="107">(FT75-FS75)/FT75</f>
        <v>0.12244897959183673</v>
      </c>
      <c r="NO75" s="145">
        <f t="shared" si="107"/>
        <v>0.234375</v>
      </c>
      <c r="NP75" s="145">
        <f t="shared" si="107"/>
        <v>0.28888888888888886</v>
      </c>
      <c r="NQ75" s="145">
        <f t="shared" si="107"/>
        <v>0.20353982300884957</v>
      </c>
      <c r="NR75" s="145">
        <f t="shared" si="107"/>
        <v>-3.669724770642202E-2</v>
      </c>
      <c r="NS75" s="145">
        <f t="shared" si="107"/>
        <v>-2.8301886792452831E-2</v>
      </c>
      <c r="NT75" s="145">
        <f t="shared" si="107"/>
        <v>0.18461538461538463</v>
      </c>
      <c r="NU75" s="145">
        <f t="shared" si="107"/>
        <v>9.7222222222222224E-2</v>
      </c>
      <c r="NV75" s="145">
        <f t="shared" si="107"/>
        <v>-0.11627906976744186</v>
      </c>
      <c r="NW75" s="145">
        <f t="shared" si="107"/>
        <v>-0.1834862385321101</v>
      </c>
      <c r="NX75" s="145">
        <f t="shared" ref="NX75:OL79" si="108">(GD75-GC75)/GD75</f>
        <v>0.20437956204379562</v>
      </c>
      <c r="NY75" s="145">
        <f t="shared" si="108"/>
        <v>0.12738853503184713</v>
      </c>
      <c r="NZ75" s="145">
        <f t="shared" si="108"/>
        <v>0</v>
      </c>
      <c r="OA75" s="145">
        <f t="shared" si="108"/>
        <v>-3.9735099337748346E-2</v>
      </c>
      <c r="OB75" s="145">
        <f t="shared" si="108"/>
        <v>-5.5944055944055944E-2</v>
      </c>
      <c r="OC75" s="145">
        <f t="shared" si="108"/>
        <v>-0.16260162601626016</v>
      </c>
      <c r="OD75" s="145">
        <f t="shared" si="108"/>
        <v>-8.1967213114754103E-3</v>
      </c>
      <c r="OE75" s="145">
        <f t="shared" si="108"/>
        <v>1.6129032258064516E-2</v>
      </c>
      <c r="OF75" s="145">
        <f t="shared" si="108"/>
        <v>8.1481481481481488E-2</v>
      </c>
      <c r="OG75" s="145">
        <f t="shared" si="108"/>
        <v>0.14556962025316456</v>
      </c>
      <c r="OH75" s="145">
        <f t="shared" si="108"/>
        <v>8.6705202312138727E-2</v>
      </c>
      <c r="OI75" s="145">
        <f t="shared" si="108"/>
        <v>-0.13815789473684212</v>
      </c>
      <c r="OJ75" s="145">
        <f t="shared" si="108"/>
        <v>0.24</v>
      </c>
      <c r="OK75" s="145">
        <f t="shared" si="108"/>
        <v>8.2568807339449546E-2</v>
      </c>
      <c r="OL75" s="145">
        <f t="shared" si="108"/>
        <v>-6.8627450980392163E-2</v>
      </c>
    </row>
    <row r="76" spans="1:402" s="145" customFormat="1" ht="19.5" customHeight="1" x14ac:dyDescent="0.35">
      <c r="A76" s="12" t="s">
        <v>31</v>
      </c>
      <c r="B76" s="156"/>
      <c r="C76" s="156"/>
      <c r="D76" s="156"/>
      <c r="E76" s="156"/>
      <c r="F76" s="156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  <c r="DC76" s="143"/>
      <c r="DD76" s="143"/>
      <c r="DE76" s="143"/>
      <c r="DF76" s="143"/>
      <c r="DG76" s="143"/>
      <c r="DH76" s="143"/>
      <c r="DI76" s="143"/>
      <c r="DJ76" s="143">
        <v>11</v>
      </c>
      <c r="DK76" s="143">
        <v>5</v>
      </c>
      <c r="DL76" s="143">
        <v>2</v>
      </c>
      <c r="DM76" s="143">
        <v>5</v>
      </c>
      <c r="DN76" s="143">
        <v>8</v>
      </c>
      <c r="DO76" s="143">
        <v>8</v>
      </c>
      <c r="DP76" s="143">
        <v>8</v>
      </c>
      <c r="DQ76" s="143">
        <v>2</v>
      </c>
      <c r="DR76" s="143">
        <v>7</v>
      </c>
      <c r="DS76" s="143">
        <v>4</v>
      </c>
      <c r="DT76" s="143">
        <v>5</v>
      </c>
      <c r="DU76" s="143">
        <v>5</v>
      </c>
      <c r="DV76" s="143">
        <v>9</v>
      </c>
      <c r="DW76" s="143">
        <v>5</v>
      </c>
      <c r="DX76" s="143">
        <v>8</v>
      </c>
      <c r="DY76" s="143">
        <v>9</v>
      </c>
      <c r="DZ76" s="143">
        <v>9</v>
      </c>
      <c r="EA76" s="143">
        <v>8</v>
      </c>
      <c r="EB76" s="143">
        <v>11</v>
      </c>
      <c r="EC76" s="143">
        <v>6</v>
      </c>
      <c r="ED76" s="143">
        <v>7</v>
      </c>
      <c r="EE76" s="143">
        <v>9</v>
      </c>
      <c r="EF76" s="143">
        <v>6</v>
      </c>
      <c r="EG76" s="143">
        <v>7</v>
      </c>
      <c r="EH76" s="143">
        <v>10</v>
      </c>
      <c r="EI76" s="143">
        <v>13</v>
      </c>
      <c r="EJ76" s="143">
        <v>13</v>
      </c>
      <c r="EK76" s="143">
        <v>13</v>
      </c>
      <c r="EL76" s="143">
        <v>9</v>
      </c>
      <c r="EM76" s="143">
        <v>7</v>
      </c>
      <c r="EN76" s="143">
        <v>9</v>
      </c>
      <c r="EO76" s="143">
        <v>7</v>
      </c>
      <c r="EP76" s="143">
        <v>6</v>
      </c>
      <c r="EQ76" s="143">
        <v>11</v>
      </c>
      <c r="ER76" s="143">
        <v>8</v>
      </c>
      <c r="ES76" s="143">
        <v>7</v>
      </c>
      <c r="ET76" s="143">
        <v>8</v>
      </c>
      <c r="EU76" s="143">
        <v>11</v>
      </c>
      <c r="EV76" s="143">
        <v>9</v>
      </c>
      <c r="EW76" s="143">
        <v>8</v>
      </c>
      <c r="EX76" s="143">
        <v>9</v>
      </c>
      <c r="EY76" s="143">
        <v>17</v>
      </c>
      <c r="EZ76" s="143">
        <v>17</v>
      </c>
      <c r="FA76" s="143">
        <v>11</v>
      </c>
      <c r="FB76" s="143">
        <v>24</v>
      </c>
      <c r="FC76" s="143">
        <v>29</v>
      </c>
      <c r="FD76" s="143">
        <v>34</v>
      </c>
      <c r="FE76" s="143">
        <v>13</v>
      </c>
      <c r="FF76" s="143">
        <v>31</v>
      </c>
      <c r="FG76" s="143">
        <v>34</v>
      </c>
      <c r="FH76" s="143">
        <v>39</v>
      </c>
      <c r="FI76" s="143">
        <v>27</v>
      </c>
      <c r="FJ76" s="143">
        <v>28</v>
      </c>
      <c r="FK76" s="143">
        <v>23</v>
      </c>
      <c r="FL76" s="143">
        <v>25</v>
      </c>
      <c r="FM76" s="143">
        <v>26</v>
      </c>
      <c r="FN76" s="143">
        <v>24</v>
      </c>
      <c r="FO76" s="143">
        <v>26</v>
      </c>
      <c r="FP76" s="143">
        <v>28</v>
      </c>
      <c r="FQ76" s="143">
        <v>27</v>
      </c>
      <c r="FR76" s="143">
        <v>16</v>
      </c>
      <c r="FS76" s="143">
        <v>29</v>
      </c>
      <c r="FT76" s="143">
        <v>22</v>
      </c>
      <c r="FU76" s="143">
        <v>31</v>
      </c>
      <c r="FV76" s="143">
        <v>17</v>
      </c>
      <c r="FW76" s="143">
        <v>23</v>
      </c>
      <c r="FX76" s="143">
        <v>18</v>
      </c>
      <c r="FY76" s="143">
        <v>13</v>
      </c>
      <c r="FZ76" s="143">
        <v>12</v>
      </c>
      <c r="GA76" s="143">
        <v>14</v>
      </c>
      <c r="GB76" s="143">
        <v>15</v>
      </c>
      <c r="GC76" s="143">
        <v>14</v>
      </c>
      <c r="GD76" s="143">
        <v>20</v>
      </c>
      <c r="GE76" s="143">
        <v>20</v>
      </c>
      <c r="GF76" s="143">
        <v>28</v>
      </c>
      <c r="GG76" s="143">
        <v>29</v>
      </c>
      <c r="GH76" s="143">
        <v>24</v>
      </c>
      <c r="GI76" s="143">
        <v>21</v>
      </c>
      <c r="GJ76" s="143">
        <v>15</v>
      </c>
      <c r="GK76" s="143">
        <v>19</v>
      </c>
      <c r="GL76" s="143">
        <v>19</v>
      </c>
      <c r="GM76" s="143">
        <v>17</v>
      </c>
      <c r="GN76" s="143">
        <v>9</v>
      </c>
      <c r="GO76" s="143">
        <v>12</v>
      </c>
      <c r="GP76" s="143">
        <v>21</v>
      </c>
      <c r="GQ76" s="143">
        <v>31</v>
      </c>
      <c r="GR76" s="143">
        <v>38</v>
      </c>
      <c r="GS76" s="143">
        <f>SUM(B76:GR76)/86</f>
        <v>15.720930232558139</v>
      </c>
      <c r="GT76" s="152"/>
      <c r="GU76" s="12" t="s">
        <v>31</v>
      </c>
      <c r="LE76" s="145">
        <f t="shared" ref="LE76:LN79" si="109">(DK76-DJ76)/DJ76</f>
        <v>-0.54545454545454541</v>
      </c>
      <c r="LF76" s="145">
        <f t="shared" si="109"/>
        <v>-0.6</v>
      </c>
      <c r="LG76" s="145">
        <f t="shared" si="109"/>
        <v>1.5</v>
      </c>
      <c r="LH76" s="145">
        <f t="shared" si="109"/>
        <v>0.6</v>
      </c>
      <c r="LI76" s="145">
        <f t="shared" si="109"/>
        <v>0</v>
      </c>
      <c r="LJ76" s="145">
        <f t="shared" si="109"/>
        <v>0</v>
      </c>
      <c r="LK76" s="145">
        <f t="shared" si="109"/>
        <v>-0.75</v>
      </c>
      <c r="LL76" s="145">
        <f t="shared" si="109"/>
        <v>2.5</v>
      </c>
      <c r="LM76" s="145">
        <f t="shared" si="109"/>
        <v>-0.42857142857142855</v>
      </c>
      <c r="LN76" s="145">
        <f t="shared" si="109"/>
        <v>0.25</v>
      </c>
      <c r="LO76" s="145">
        <f t="shared" ref="LO76:LX79" si="110">(DU76-DT76)/DT76</f>
        <v>0</v>
      </c>
      <c r="LP76" s="145">
        <f t="shared" si="110"/>
        <v>0.8</v>
      </c>
      <c r="LQ76" s="145">
        <f t="shared" si="110"/>
        <v>-0.44444444444444442</v>
      </c>
      <c r="LR76" s="145">
        <f t="shared" si="110"/>
        <v>0.6</v>
      </c>
      <c r="LS76" s="145">
        <f t="shared" si="110"/>
        <v>0.125</v>
      </c>
      <c r="LT76" s="145">
        <f t="shared" si="110"/>
        <v>0</v>
      </c>
      <c r="LU76" s="145">
        <f t="shared" si="110"/>
        <v>-0.1111111111111111</v>
      </c>
      <c r="LV76" s="145">
        <f t="shared" si="110"/>
        <v>0.375</v>
      </c>
      <c r="LW76" s="145">
        <f t="shared" si="110"/>
        <v>-0.45454545454545453</v>
      </c>
      <c r="LX76" s="145">
        <f t="shared" si="110"/>
        <v>0.16666666666666666</v>
      </c>
      <c r="LY76" s="145">
        <f t="shared" ref="LY76:MH79" si="111">(EE76-ED76)/ED76</f>
        <v>0.2857142857142857</v>
      </c>
      <c r="LZ76" s="145">
        <f t="shared" si="111"/>
        <v>-0.33333333333333331</v>
      </c>
      <c r="MA76" s="145">
        <f t="shared" si="111"/>
        <v>0.16666666666666666</v>
      </c>
      <c r="MB76" s="145">
        <f t="shared" si="111"/>
        <v>0.42857142857142855</v>
      </c>
      <c r="MC76" s="145">
        <f t="shared" si="111"/>
        <v>0.3</v>
      </c>
      <c r="MD76" s="145">
        <f t="shared" si="111"/>
        <v>0</v>
      </c>
      <c r="ME76" s="145">
        <f t="shared" si="111"/>
        <v>0</v>
      </c>
      <c r="MF76" s="145">
        <f t="shared" si="111"/>
        <v>-0.30769230769230771</v>
      </c>
      <c r="MG76" s="145">
        <f t="shared" si="111"/>
        <v>-0.22222222222222221</v>
      </c>
      <c r="MH76" s="145">
        <f t="shared" si="111"/>
        <v>0.2857142857142857</v>
      </c>
      <c r="MI76" s="145">
        <f t="shared" ref="MI76:MR79" si="112">(EO76-EN76)/EN76</f>
        <v>-0.22222222222222221</v>
      </c>
      <c r="MJ76" s="145">
        <f t="shared" si="112"/>
        <v>-0.14285714285714285</v>
      </c>
      <c r="MK76" s="145">
        <f t="shared" si="112"/>
        <v>0.83333333333333337</v>
      </c>
      <c r="ML76" s="145">
        <f t="shared" si="112"/>
        <v>-0.27272727272727271</v>
      </c>
      <c r="MM76" s="145">
        <f t="shared" si="112"/>
        <v>-0.125</v>
      </c>
      <c r="MN76" s="145">
        <f t="shared" si="112"/>
        <v>0.14285714285714285</v>
      </c>
      <c r="MO76" s="145">
        <f t="shared" si="112"/>
        <v>0.375</v>
      </c>
      <c r="MP76" s="145">
        <f t="shared" si="112"/>
        <v>-0.18181818181818182</v>
      </c>
      <c r="MQ76" s="145">
        <f t="shared" si="112"/>
        <v>-0.1111111111111111</v>
      </c>
      <c r="MR76" s="145">
        <f t="shared" si="112"/>
        <v>0.125</v>
      </c>
      <c r="MS76" s="145">
        <f>(EZ76-EY76)/EY76</f>
        <v>0</v>
      </c>
      <c r="MT76" s="145">
        <f t="shared" si="105"/>
        <v>0</v>
      </c>
      <c r="MU76" s="145">
        <f t="shared" si="105"/>
        <v>-0.54545454545454541</v>
      </c>
      <c r="MV76" s="145">
        <f t="shared" si="105"/>
        <v>0.54166666666666663</v>
      </c>
      <c r="MW76" s="145">
        <f t="shared" si="105"/>
        <v>0.17241379310344829</v>
      </c>
      <c r="MX76" s="145">
        <f t="shared" si="105"/>
        <v>0.14705882352941177</v>
      </c>
      <c r="MY76" s="145">
        <f t="shared" si="105"/>
        <v>-1.6153846153846154</v>
      </c>
      <c r="MZ76" s="145">
        <f t="shared" si="105"/>
        <v>0.58064516129032262</v>
      </c>
      <c r="NA76" s="145">
        <f t="shared" si="105"/>
        <v>8.8235294117647065E-2</v>
      </c>
      <c r="NB76" s="145">
        <f t="shared" si="105"/>
        <v>0.12820512820512819</v>
      </c>
      <c r="NC76" s="145">
        <f t="shared" si="105"/>
        <v>-0.44444444444444442</v>
      </c>
      <c r="ND76" s="145">
        <f t="shared" si="106"/>
        <v>3.5714285714285712E-2</v>
      </c>
      <c r="NE76" s="145">
        <f t="shared" si="106"/>
        <v>-0.21739130434782608</v>
      </c>
      <c r="NF76" s="145">
        <f t="shared" si="106"/>
        <v>0.08</v>
      </c>
      <c r="NG76" s="145">
        <f t="shared" si="106"/>
        <v>3.8461538461538464E-2</v>
      </c>
      <c r="NH76" s="145">
        <f t="shared" si="106"/>
        <v>-8.3333333333333329E-2</v>
      </c>
      <c r="NI76" s="145">
        <f t="shared" si="106"/>
        <v>7.6923076923076927E-2</v>
      </c>
      <c r="NJ76" s="145">
        <f t="shared" si="106"/>
        <v>7.1428571428571425E-2</v>
      </c>
      <c r="NK76" s="145">
        <f t="shared" si="106"/>
        <v>-3.7037037037037035E-2</v>
      </c>
      <c r="NL76" s="145">
        <f t="shared" si="106"/>
        <v>-0.6875</v>
      </c>
      <c r="NM76" s="145">
        <f t="shared" si="106"/>
        <v>0.44827586206896552</v>
      </c>
      <c r="NN76" s="145">
        <f t="shared" si="107"/>
        <v>-0.31818181818181818</v>
      </c>
      <c r="NO76" s="145">
        <f t="shared" si="107"/>
        <v>0.29032258064516131</v>
      </c>
      <c r="NP76" s="145">
        <f t="shared" si="107"/>
        <v>-0.82352941176470584</v>
      </c>
      <c r="NQ76" s="145">
        <f t="shared" si="107"/>
        <v>0.2608695652173913</v>
      </c>
      <c r="NR76" s="145">
        <f t="shared" si="107"/>
        <v>-0.27777777777777779</v>
      </c>
      <c r="NS76" s="145">
        <f t="shared" si="107"/>
        <v>-0.38461538461538464</v>
      </c>
      <c r="NT76" s="145">
        <f t="shared" si="107"/>
        <v>-8.3333333333333329E-2</v>
      </c>
      <c r="NU76" s="145">
        <f t="shared" si="107"/>
        <v>0.14285714285714285</v>
      </c>
      <c r="NV76" s="145">
        <f t="shared" si="107"/>
        <v>6.6666666666666666E-2</v>
      </c>
      <c r="NW76" s="145">
        <f t="shared" si="107"/>
        <v>-7.1428571428571425E-2</v>
      </c>
      <c r="NX76" s="145">
        <f t="shared" si="108"/>
        <v>0.3</v>
      </c>
      <c r="NY76" s="145">
        <f t="shared" si="108"/>
        <v>0</v>
      </c>
      <c r="NZ76" s="145">
        <f t="shared" si="108"/>
        <v>0.2857142857142857</v>
      </c>
      <c r="OA76" s="145">
        <f t="shared" si="108"/>
        <v>3.4482758620689655E-2</v>
      </c>
      <c r="OB76" s="145">
        <f t="shared" si="108"/>
        <v>-0.20833333333333334</v>
      </c>
      <c r="OC76" s="145">
        <f t="shared" si="108"/>
        <v>-0.14285714285714285</v>
      </c>
      <c r="OD76" s="145">
        <f t="shared" si="108"/>
        <v>-0.4</v>
      </c>
      <c r="OE76" s="145">
        <f t="shared" si="108"/>
        <v>0.21052631578947367</v>
      </c>
      <c r="OF76" s="145">
        <f t="shared" si="108"/>
        <v>0</v>
      </c>
      <c r="OG76" s="145">
        <f t="shared" si="108"/>
        <v>-0.11764705882352941</v>
      </c>
      <c r="OH76" s="145">
        <f t="shared" si="108"/>
        <v>-0.88888888888888884</v>
      </c>
      <c r="OI76" s="145">
        <f t="shared" si="108"/>
        <v>0.25</v>
      </c>
      <c r="OJ76" s="145">
        <f t="shared" si="108"/>
        <v>0.42857142857142855</v>
      </c>
      <c r="OK76" s="145">
        <f t="shared" si="108"/>
        <v>0.32258064516129031</v>
      </c>
      <c r="OL76" s="145">
        <f t="shared" si="108"/>
        <v>0.18421052631578946</v>
      </c>
    </row>
    <row r="77" spans="1:402" s="145" customFormat="1" ht="19.5" customHeight="1" x14ac:dyDescent="0.35">
      <c r="A77" s="12" t="s">
        <v>32</v>
      </c>
      <c r="B77" s="156">
        <v>15</v>
      </c>
      <c r="C77" s="156">
        <v>10</v>
      </c>
      <c r="D77" s="156">
        <v>12</v>
      </c>
      <c r="E77" s="156">
        <v>8</v>
      </c>
      <c r="F77" s="156">
        <f>'[1]Jan 08'!C31</f>
        <v>10</v>
      </c>
      <c r="G77" s="143">
        <f>'[1]Feb 08'!C31</f>
        <v>11</v>
      </c>
      <c r="H77" s="143">
        <f>'[1]Mar 08'!C31</f>
        <v>7</v>
      </c>
      <c r="I77" s="143">
        <v>14</v>
      </c>
      <c r="J77" s="143">
        <f>'[1]May 08'!C31</f>
        <v>16</v>
      </c>
      <c r="K77" s="143">
        <f>'[1]Jun 08'!C31</f>
        <v>11</v>
      </c>
      <c r="L77" s="143">
        <f>'[1]Jul 08'!C31</f>
        <v>8</v>
      </c>
      <c r="M77" s="143">
        <f>'[1]Aug 08'!C31</f>
        <v>4</v>
      </c>
      <c r="N77" s="143">
        <v>4</v>
      </c>
      <c r="O77" s="143">
        <v>5</v>
      </c>
      <c r="P77" s="143">
        <v>6</v>
      </c>
      <c r="Q77" s="143">
        <v>3</v>
      </c>
      <c r="R77" s="143">
        <v>6</v>
      </c>
      <c r="S77" s="143">
        <v>7</v>
      </c>
      <c r="T77" s="143">
        <v>5</v>
      </c>
      <c r="U77" s="143">
        <v>8</v>
      </c>
      <c r="V77" s="143">
        <v>8</v>
      </c>
      <c r="W77" s="143">
        <v>12</v>
      </c>
      <c r="X77" s="143">
        <v>6</v>
      </c>
      <c r="Y77" s="143">
        <v>5</v>
      </c>
      <c r="Z77" s="143">
        <v>7</v>
      </c>
      <c r="AA77" s="143">
        <v>7</v>
      </c>
      <c r="AB77" s="143">
        <v>8</v>
      </c>
      <c r="AC77" s="143">
        <v>11</v>
      </c>
      <c r="AD77" s="143">
        <v>16</v>
      </c>
      <c r="AE77" s="143">
        <v>8</v>
      </c>
      <c r="AF77" s="143">
        <v>6</v>
      </c>
      <c r="AG77" s="143">
        <v>9</v>
      </c>
      <c r="AH77" s="143">
        <v>11</v>
      </c>
      <c r="AI77" s="143">
        <v>4</v>
      </c>
      <c r="AJ77" s="143">
        <v>6</v>
      </c>
      <c r="AK77" s="143">
        <v>5</v>
      </c>
      <c r="AL77" s="143">
        <v>8</v>
      </c>
      <c r="AM77" s="143">
        <v>7</v>
      </c>
      <c r="AN77" s="143">
        <v>8</v>
      </c>
      <c r="AO77" s="143">
        <v>8</v>
      </c>
      <c r="AP77" s="143">
        <v>7</v>
      </c>
      <c r="AQ77" s="143">
        <v>7</v>
      </c>
      <c r="AR77" s="143">
        <v>11</v>
      </c>
      <c r="AS77" s="143">
        <v>8</v>
      </c>
      <c r="AT77" s="143">
        <v>4</v>
      </c>
      <c r="AU77" s="143">
        <v>7</v>
      </c>
      <c r="AV77" s="143">
        <v>4</v>
      </c>
      <c r="AW77" s="143">
        <v>3</v>
      </c>
      <c r="AX77" s="143">
        <v>3</v>
      </c>
      <c r="AY77" s="143">
        <v>3</v>
      </c>
      <c r="AZ77" s="143">
        <v>2</v>
      </c>
      <c r="BA77" s="143">
        <v>3</v>
      </c>
      <c r="BB77" s="143">
        <v>4</v>
      </c>
      <c r="BC77" s="143">
        <v>9</v>
      </c>
      <c r="BD77" s="143">
        <v>6</v>
      </c>
      <c r="BE77" s="143">
        <v>9</v>
      </c>
      <c r="BF77" s="143">
        <v>6</v>
      </c>
      <c r="BG77" s="143">
        <v>6</v>
      </c>
      <c r="BH77" s="143">
        <v>5</v>
      </c>
      <c r="BI77" s="143">
        <v>6</v>
      </c>
      <c r="BJ77" s="143">
        <v>6</v>
      </c>
      <c r="BK77" s="143">
        <v>3</v>
      </c>
      <c r="BL77" s="143">
        <v>5</v>
      </c>
      <c r="BM77" s="143">
        <v>1</v>
      </c>
      <c r="BN77" s="143">
        <v>5</v>
      </c>
      <c r="BO77" s="143">
        <v>10</v>
      </c>
      <c r="BP77" s="143">
        <v>9</v>
      </c>
      <c r="BQ77" s="143">
        <v>10</v>
      </c>
      <c r="BR77" s="143">
        <v>10</v>
      </c>
      <c r="BS77" s="143">
        <v>6</v>
      </c>
      <c r="BT77" s="143">
        <v>3</v>
      </c>
      <c r="BU77" s="143">
        <v>3</v>
      </c>
      <c r="BV77" s="143">
        <v>3</v>
      </c>
      <c r="BW77" s="143">
        <v>4</v>
      </c>
      <c r="BX77" s="143">
        <v>7</v>
      </c>
      <c r="BY77" s="143">
        <v>12</v>
      </c>
      <c r="BZ77" s="143">
        <v>12</v>
      </c>
      <c r="CA77" s="143">
        <v>13</v>
      </c>
      <c r="CB77" s="143">
        <v>22</v>
      </c>
      <c r="CC77" s="143">
        <v>15</v>
      </c>
      <c r="CD77" s="143">
        <v>13</v>
      </c>
      <c r="CE77" s="143">
        <v>11</v>
      </c>
      <c r="CF77" s="143">
        <v>10</v>
      </c>
      <c r="CG77" s="143">
        <v>10</v>
      </c>
      <c r="CH77" s="143">
        <v>9</v>
      </c>
      <c r="CI77" s="143">
        <v>7</v>
      </c>
      <c r="CJ77" s="143">
        <v>9</v>
      </c>
      <c r="CK77" s="143">
        <v>7</v>
      </c>
      <c r="CL77" s="143">
        <v>14</v>
      </c>
      <c r="CM77" s="143">
        <v>9</v>
      </c>
      <c r="CN77" s="143">
        <v>13</v>
      </c>
      <c r="CO77" s="143">
        <v>10</v>
      </c>
      <c r="CP77" s="143">
        <v>6</v>
      </c>
      <c r="CQ77" s="143">
        <v>7</v>
      </c>
      <c r="CR77" s="143">
        <v>5</v>
      </c>
      <c r="CS77" s="143">
        <v>5</v>
      </c>
      <c r="CT77" s="143">
        <v>8</v>
      </c>
      <c r="CU77" s="143">
        <v>6</v>
      </c>
      <c r="CV77" s="143">
        <v>10</v>
      </c>
      <c r="CW77" s="143">
        <v>9</v>
      </c>
      <c r="CX77" s="143">
        <v>4</v>
      </c>
      <c r="CY77" s="143">
        <v>9</v>
      </c>
      <c r="CZ77" s="143">
        <v>10</v>
      </c>
      <c r="DA77" s="143">
        <v>13</v>
      </c>
      <c r="DB77" s="143">
        <v>13</v>
      </c>
      <c r="DC77" s="143">
        <v>16</v>
      </c>
      <c r="DD77" s="143">
        <v>6</v>
      </c>
      <c r="DE77" s="143">
        <v>7</v>
      </c>
      <c r="DF77" s="143">
        <v>4</v>
      </c>
      <c r="DG77" s="143">
        <v>7</v>
      </c>
      <c r="DH77" s="143">
        <v>7</v>
      </c>
      <c r="DI77" s="143">
        <v>8</v>
      </c>
      <c r="DJ77" s="143">
        <v>9</v>
      </c>
      <c r="DK77" s="143">
        <v>11</v>
      </c>
      <c r="DL77" s="143">
        <v>9</v>
      </c>
      <c r="DM77" s="143">
        <v>5</v>
      </c>
      <c r="DN77" s="143">
        <v>10</v>
      </c>
      <c r="DO77" s="143">
        <v>10</v>
      </c>
      <c r="DP77" s="143">
        <v>9</v>
      </c>
      <c r="DQ77" s="143">
        <v>9</v>
      </c>
      <c r="DR77" s="143">
        <v>9</v>
      </c>
      <c r="DS77" s="143">
        <v>9</v>
      </c>
      <c r="DT77" s="143">
        <v>12</v>
      </c>
      <c r="DU77" s="143">
        <v>7</v>
      </c>
      <c r="DV77" s="143">
        <v>13</v>
      </c>
      <c r="DW77" s="143">
        <v>17</v>
      </c>
      <c r="DX77" s="143">
        <v>13</v>
      </c>
      <c r="DY77" s="143">
        <v>18</v>
      </c>
      <c r="DZ77" s="143">
        <v>15</v>
      </c>
      <c r="EA77" s="143">
        <v>14</v>
      </c>
      <c r="EB77" s="143">
        <v>12</v>
      </c>
      <c r="EC77" s="143">
        <v>13</v>
      </c>
      <c r="ED77" s="143">
        <v>12</v>
      </c>
      <c r="EE77" s="143">
        <v>7</v>
      </c>
      <c r="EF77" s="143">
        <v>10</v>
      </c>
      <c r="EG77" s="143">
        <v>13</v>
      </c>
      <c r="EH77" s="143">
        <v>12</v>
      </c>
      <c r="EI77" s="143">
        <v>17</v>
      </c>
      <c r="EJ77" s="143">
        <v>14</v>
      </c>
      <c r="EK77" s="143">
        <v>18</v>
      </c>
      <c r="EL77" s="143">
        <v>19</v>
      </c>
      <c r="EM77" s="143">
        <v>21</v>
      </c>
      <c r="EN77" s="143">
        <v>11</v>
      </c>
      <c r="EO77" s="143">
        <v>16</v>
      </c>
      <c r="EP77" s="143">
        <v>13</v>
      </c>
      <c r="EQ77" s="143">
        <v>11</v>
      </c>
      <c r="ER77" s="143">
        <v>13</v>
      </c>
      <c r="ES77" s="143">
        <v>13</v>
      </c>
      <c r="ET77" s="143">
        <v>20</v>
      </c>
      <c r="EU77" s="143">
        <v>20</v>
      </c>
      <c r="EV77" s="143">
        <v>7</v>
      </c>
      <c r="EW77" s="143">
        <v>12</v>
      </c>
      <c r="EX77" s="143">
        <v>10</v>
      </c>
      <c r="EY77" s="143">
        <v>17</v>
      </c>
      <c r="EZ77" s="143">
        <v>17</v>
      </c>
      <c r="FA77" s="143">
        <v>24</v>
      </c>
      <c r="FB77" s="143">
        <v>23</v>
      </c>
      <c r="FC77" s="143">
        <v>18</v>
      </c>
      <c r="FD77" s="143">
        <v>24</v>
      </c>
      <c r="FE77" s="143">
        <v>28</v>
      </c>
      <c r="FF77" s="143">
        <v>28</v>
      </c>
      <c r="FG77" s="143">
        <v>44</v>
      </c>
      <c r="FH77" s="143">
        <v>53</v>
      </c>
      <c r="FI77" s="143">
        <v>46</v>
      </c>
      <c r="FJ77" s="143">
        <v>47</v>
      </c>
      <c r="FK77" s="143">
        <v>38</v>
      </c>
      <c r="FL77" s="143">
        <v>31</v>
      </c>
      <c r="FM77" s="143">
        <v>35</v>
      </c>
      <c r="FN77" s="143">
        <v>33</v>
      </c>
      <c r="FO77" s="143">
        <v>22</v>
      </c>
      <c r="FP77" s="143">
        <v>23</v>
      </c>
      <c r="FQ77" s="143">
        <v>29</v>
      </c>
      <c r="FR77" s="143">
        <v>45</v>
      </c>
      <c r="FS77" s="143">
        <v>42</v>
      </c>
      <c r="FT77" s="143">
        <v>52</v>
      </c>
      <c r="FU77" s="143">
        <v>46</v>
      </c>
      <c r="FV77" s="143">
        <v>49</v>
      </c>
      <c r="FW77" s="143">
        <v>31</v>
      </c>
      <c r="FX77" s="143">
        <v>28</v>
      </c>
      <c r="FY77" s="143">
        <v>22</v>
      </c>
      <c r="FZ77" s="143">
        <v>24</v>
      </c>
      <c r="GA77" s="143">
        <v>18</v>
      </c>
      <c r="GB77" s="143">
        <v>25</v>
      </c>
      <c r="GC77" s="143">
        <v>23</v>
      </c>
      <c r="GD77" s="143">
        <v>23</v>
      </c>
      <c r="GE77" s="143">
        <v>33</v>
      </c>
      <c r="GF77" s="143">
        <v>30</v>
      </c>
      <c r="GG77" s="143">
        <v>39</v>
      </c>
      <c r="GH77" s="143">
        <v>36</v>
      </c>
      <c r="GI77" s="143">
        <v>29</v>
      </c>
      <c r="GJ77" s="143">
        <v>38</v>
      </c>
      <c r="GK77" s="143">
        <v>25</v>
      </c>
      <c r="GL77" s="143">
        <v>33</v>
      </c>
      <c r="GM77" s="143">
        <v>31</v>
      </c>
      <c r="GN77" s="143">
        <v>22</v>
      </c>
      <c r="GO77" s="143">
        <v>24</v>
      </c>
      <c r="GP77" s="143">
        <v>36</v>
      </c>
      <c r="GQ77" s="143">
        <v>37</v>
      </c>
      <c r="GR77" s="143">
        <v>50</v>
      </c>
      <c r="GS77" s="143">
        <f>SUM(B77:GR77)/198</f>
        <v>14.484848484848484</v>
      </c>
      <c r="GT77" s="152"/>
      <c r="GU77" s="12" t="s">
        <v>32</v>
      </c>
      <c r="GV77" s="145" t="s">
        <v>30</v>
      </c>
      <c r="GW77" s="145">
        <f t="shared" ref="GW77:HF78" si="113">(C77-B77)/B77</f>
        <v>-0.33333333333333331</v>
      </c>
      <c r="GX77" s="145">
        <f t="shared" si="113"/>
        <v>0.2</v>
      </c>
      <c r="GY77" s="145">
        <f t="shared" si="113"/>
        <v>-0.33333333333333331</v>
      </c>
      <c r="GZ77" s="145">
        <f t="shared" si="113"/>
        <v>0.25</v>
      </c>
      <c r="HA77" s="145">
        <f t="shared" si="113"/>
        <v>0.1</v>
      </c>
      <c r="HB77" s="145">
        <f t="shared" si="113"/>
        <v>-0.36363636363636365</v>
      </c>
      <c r="HC77" s="145">
        <f t="shared" si="113"/>
        <v>1</v>
      </c>
      <c r="HD77" s="145">
        <f t="shared" si="113"/>
        <v>0.14285714285714285</v>
      </c>
      <c r="HE77" s="145">
        <f t="shared" si="113"/>
        <v>-0.3125</v>
      </c>
      <c r="HF77" s="145">
        <f t="shared" si="113"/>
        <v>-0.27272727272727271</v>
      </c>
      <c r="HG77" s="145">
        <f t="shared" ref="HG77:HP78" si="114">(M77-L77)/L77</f>
        <v>-0.5</v>
      </c>
      <c r="HH77" s="145">
        <f t="shared" si="114"/>
        <v>0</v>
      </c>
      <c r="HI77" s="145">
        <f t="shared" si="114"/>
        <v>0.25</v>
      </c>
      <c r="HJ77" s="145">
        <f t="shared" si="114"/>
        <v>0.2</v>
      </c>
      <c r="HK77" s="145">
        <f t="shared" si="114"/>
        <v>-0.5</v>
      </c>
      <c r="HL77" s="145">
        <f t="shared" si="114"/>
        <v>1</v>
      </c>
      <c r="HM77" s="145">
        <f t="shared" si="114"/>
        <v>0.16666666666666666</v>
      </c>
      <c r="HN77" s="145">
        <f t="shared" si="114"/>
        <v>-0.2857142857142857</v>
      </c>
      <c r="HO77" s="145">
        <f t="shared" si="114"/>
        <v>0.6</v>
      </c>
      <c r="HP77" s="145">
        <f t="shared" si="114"/>
        <v>0</v>
      </c>
      <c r="HQ77" s="145">
        <f t="shared" ref="HQ77:HZ78" si="115">(W77-V77)/V77</f>
        <v>0.5</v>
      </c>
      <c r="HR77" s="145">
        <f t="shared" si="115"/>
        <v>-0.5</v>
      </c>
      <c r="HS77" s="145">
        <f t="shared" si="115"/>
        <v>-0.16666666666666666</v>
      </c>
      <c r="HT77" s="145">
        <f t="shared" si="115"/>
        <v>0.4</v>
      </c>
      <c r="HU77" s="145">
        <f t="shared" si="115"/>
        <v>0</v>
      </c>
      <c r="HV77" s="145">
        <f t="shared" si="115"/>
        <v>0.14285714285714285</v>
      </c>
      <c r="HW77" s="145">
        <f t="shared" si="115"/>
        <v>0.375</v>
      </c>
      <c r="HX77" s="145">
        <f t="shared" si="115"/>
        <v>0.45454545454545453</v>
      </c>
      <c r="HY77" s="145">
        <f t="shared" si="115"/>
        <v>-0.5</v>
      </c>
      <c r="HZ77" s="145">
        <f t="shared" si="115"/>
        <v>-0.25</v>
      </c>
      <c r="IA77" s="145">
        <f t="shared" ref="IA77:IJ78" si="116">(AG77-AF77)/AF77</f>
        <v>0.5</v>
      </c>
      <c r="IB77" s="145">
        <f t="shared" si="116"/>
        <v>0.22222222222222221</v>
      </c>
      <c r="IC77" s="145">
        <f t="shared" si="116"/>
        <v>-0.63636363636363635</v>
      </c>
      <c r="ID77" s="145">
        <f t="shared" si="116"/>
        <v>0.5</v>
      </c>
      <c r="IE77" s="145">
        <f t="shared" si="116"/>
        <v>-0.16666666666666666</v>
      </c>
      <c r="IF77" s="145">
        <f t="shared" si="116"/>
        <v>0.6</v>
      </c>
      <c r="IG77" s="145">
        <f t="shared" si="116"/>
        <v>-0.125</v>
      </c>
      <c r="IH77" s="145">
        <f t="shared" si="116"/>
        <v>0.14285714285714285</v>
      </c>
      <c r="II77" s="145">
        <f t="shared" si="116"/>
        <v>0</v>
      </c>
      <c r="IJ77" s="145">
        <f t="shared" si="116"/>
        <v>-0.125</v>
      </c>
      <c r="IK77" s="145">
        <f t="shared" ref="IK77:IT78" si="117">(AQ77-AP77)/AP77</f>
        <v>0</v>
      </c>
      <c r="IL77" s="145">
        <f t="shared" si="117"/>
        <v>0.5714285714285714</v>
      </c>
      <c r="IM77" s="145">
        <f t="shared" si="117"/>
        <v>-0.27272727272727271</v>
      </c>
      <c r="IN77" s="145">
        <f t="shared" si="117"/>
        <v>-0.5</v>
      </c>
      <c r="IO77" s="145">
        <f t="shared" si="117"/>
        <v>0.75</v>
      </c>
      <c r="IP77" s="145">
        <f t="shared" si="117"/>
        <v>-0.42857142857142855</v>
      </c>
      <c r="IQ77" s="145">
        <f t="shared" si="117"/>
        <v>-0.25</v>
      </c>
      <c r="IR77" s="145">
        <f t="shared" si="117"/>
        <v>0</v>
      </c>
      <c r="IS77" s="145">
        <f t="shared" si="117"/>
        <v>0</v>
      </c>
      <c r="IT77" s="145">
        <f t="shared" si="117"/>
        <v>-0.33333333333333331</v>
      </c>
      <c r="IU77" s="145">
        <f t="shared" ref="IU77:JD78" si="118">(BA77-AZ77)/AZ77</f>
        <v>0.5</v>
      </c>
      <c r="IV77" s="145">
        <f t="shared" si="118"/>
        <v>0.33333333333333331</v>
      </c>
      <c r="IW77" s="145">
        <f t="shared" si="118"/>
        <v>1.25</v>
      </c>
      <c r="IX77" s="145">
        <f t="shared" si="118"/>
        <v>-0.33333333333333331</v>
      </c>
      <c r="IY77" s="145">
        <f t="shared" si="118"/>
        <v>0.5</v>
      </c>
      <c r="IZ77" s="145">
        <f t="shared" si="118"/>
        <v>-0.33333333333333331</v>
      </c>
      <c r="JA77" s="145">
        <f t="shared" si="118"/>
        <v>0</v>
      </c>
      <c r="JB77" s="145">
        <f t="shared" si="118"/>
        <v>-0.16666666666666666</v>
      </c>
      <c r="JC77" s="145">
        <f t="shared" si="118"/>
        <v>0.2</v>
      </c>
      <c r="JD77" s="145">
        <f t="shared" si="118"/>
        <v>0</v>
      </c>
      <c r="JE77" s="145">
        <f t="shared" ref="JE77:JN78" si="119">(BK77-BJ77)/BJ77</f>
        <v>-0.5</v>
      </c>
      <c r="JF77" s="145">
        <f t="shared" si="119"/>
        <v>0.66666666666666663</v>
      </c>
      <c r="JG77" s="145">
        <f t="shared" si="119"/>
        <v>-0.8</v>
      </c>
      <c r="JH77" s="145">
        <f t="shared" si="119"/>
        <v>4</v>
      </c>
      <c r="JI77" s="145">
        <f t="shared" si="119"/>
        <v>1</v>
      </c>
      <c r="JJ77" s="145">
        <f t="shared" si="119"/>
        <v>-0.1</v>
      </c>
      <c r="JK77" s="145">
        <f t="shared" si="119"/>
        <v>0.1111111111111111</v>
      </c>
      <c r="JL77" s="145">
        <f t="shared" si="119"/>
        <v>0</v>
      </c>
      <c r="JM77" s="145">
        <f t="shared" si="119"/>
        <v>-0.4</v>
      </c>
      <c r="JN77" s="145">
        <f t="shared" si="119"/>
        <v>-0.5</v>
      </c>
      <c r="JO77" s="145">
        <f t="shared" ref="JO77:JX78" si="120">(BU77-BT77)/BT77</f>
        <v>0</v>
      </c>
      <c r="JP77" s="145">
        <f t="shared" si="120"/>
        <v>0</v>
      </c>
      <c r="JQ77" s="145">
        <f t="shared" si="120"/>
        <v>0.33333333333333331</v>
      </c>
      <c r="JR77" s="145">
        <f t="shared" si="120"/>
        <v>0.75</v>
      </c>
      <c r="JS77" s="145">
        <f t="shared" si="120"/>
        <v>0.7142857142857143</v>
      </c>
      <c r="JT77" s="145">
        <f t="shared" si="120"/>
        <v>0</v>
      </c>
      <c r="JU77" s="145">
        <f t="shared" si="120"/>
        <v>8.3333333333333329E-2</v>
      </c>
      <c r="JV77" s="145">
        <f t="shared" si="120"/>
        <v>0.69230769230769229</v>
      </c>
      <c r="JW77" s="145">
        <f t="shared" si="120"/>
        <v>-0.31818181818181818</v>
      </c>
      <c r="JX77" s="145">
        <f t="shared" si="120"/>
        <v>-0.13333333333333333</v>
      </c>
      <c r="JY77" s="145">
        <f t="shared" ref="JY77:KH78" si="121">(CE77-CD77)/CD77</f>
        <v>-0.15384615384615385</v>
      </c>
      <c r="JZ77" s="145">
        <f t="shared" si="121"/>
        <v>-9.0909090909090912E-2</v>
      </c>
      <c r="KA77" s="145">
        <f t="shared" si="121"/>
        <v>0</v>
      </c>
      <c r="KB77" s="145">
        <f t="shared" si="121"/>
        <v>-0.1</v>
      </c>
      <c r="KC77" s="145">
        <f t="shared" si="121"/>
        <v>-0.22222222222222221</v>
      </c>
      <c r="KD77" s="145">
        <f t="shared" si="121"/>
        <v>0.2857142857142857</v>
      </c>
      <c r="KE77" s="145">
        <f t="shared" si="121"/>
        <v>-0.22222222222222221</v>
      </c>
      <c r="KF77" s="145">
        <f t="shared" si="121"/>
        <v>1</v>
      </c>
      <c r="KG77" s="145">
        <f t="shared" si="121"/>
        <v>-0.35714285714285715</v>
      </c>
      <c r="KH77" s="145">
        <f t="shared" si="121"/>
        <v>0.44444444444444442</v>
      </c>
      <c r="KI77" s="145">
        <f t="shared" ref="KI77:KR78" si="122">(CO77-CN77)/CN77</f>
        <v>-0.23076923076923078</v>
      </c>
      <c r="KJ77" s="145">
        <f t="shared" si="122"/>
        <v>-0.4</v>
      </c>
      <c r="KK77" s="145">
        <f t="shared" si="122"/>
        <v>0.16666666666666666</v>
      </c>
      <c r="KL77" s="145">
        <f t="shared" si="122"/>
        <v>-0.2857142857142857</v>
      </c>
      <c r="KM77" s="145">
        <f t="shared" si="122"/>
        <v>0</v>
      </c>
      <c r="KN77" s="145">
        <f t="shared" si="122"/>
        <v>0.6</v>
      </c>
      <c r="KO77" s="145">
        <f t="shared" si="122"/>
        <v>-0.25</v>
      </c>
      <c r="KP77" s="145">
        <f t="shared" si="122"/>
        <v>0.66666666666666663</v>
      </c>
      <c r="KQ77" s="145">
        <f t="shared" si="122"/>
        <v>-0.1</v>
      </c>
      <c r="KR77" s="145">
        <f t="shared" si="122"/>
        <v>-0.55555555555555558</v>
      </c>
      <c r="KS77" s="145">
        <f t="shared" ref="KS77:LB78" si="123">(CY77-CX77)/CX77</f>
        <v>1.25</v>
      </c>
      <c r="KT77" s="145">
        <f t="shared" si="123"/>
        <v>0.1111111111111111</v>
      </c>
      <c r="KU77" s="145">
        <f t="shared" si="123"/>
        <v>0.3</v>
      </c>
      <c r="KV77" s="145">
        <f t="shared" si="123"/>
        <v>0</v>
      </c>
      <c r="KW77" s="145">
        <f t="shared" si="123"/>
        <v>0.23076923076923078</v>
      </c>
      <c r="KX77" s="145">
        <f t="shared" si="123"/>
        <v>-0.625</v>
      </c>
      <c r="KY77" s="145">
        <f t="shared" si="123"/>
        <v>0.16666666666666666</v>
      </c>
      <c r="KZ77" s="145">
        <f t="shared" si="123"/>
        <v>-0.42857142857142855</v>
      </c>
      <c r="LA77" s="145">
        <f t="shared" si="123"/>
        <v>0.75</v>
      </c>
      <c r="LB77" s="145">
        <f t="shared" si="123"/>
        <v>0</v>
      </c>
      <c r="LC77" s="145">
        <f t="shared" ref="LC77:LD78" si="124">(DI77-DH77)/DH77</f>
        <v>0.14285714285714285</v>
      </c>
      <c r="LD77" s="145">
        <f t="shared" si="124"/>
        <v>0.125</v>
      </c>
      <c r="LE77" s="145">
        <f t="shared" si="109"/>
        <v>0.22222222222222221</v>
      </c>
      <c r="LF77" s="145">
        <f t="shared" si="109"/>
        <v>-0.18181818181818182</v>
      </c>
      <c r="LG77" s="145">
        <f t="shared" si="109"/>
        <v>-0.44444444444444442</v>
      </c>
      <c r="LH77" s="145">
        <f t="shared" si="109"/>
        <v>1</v>
      </c>
      <c r="LI77" s="145">
        <f t="shared" si="109"/>
        <v>0</v>
      </c>
      <c r="LJ77" s="145">
        <f t="shared" si="109"/>
        <v>-0.1</v>
      </c>
      <c r="LK77" s="145">
        <f t="shared" si="109"/>
        <v>0</v>
      </c>
      <c r="LL77" s="145">
        <f t="shared" si="109"/>
        <v>0</v>
      </c>
      <c r="LM77" s="145">
        <f t="shared" si="109"/>
        <v>0</v>
      </c>
      <c r="LN77" s="145">
        <f t="shared" si="109"/>
        <v>0.33333333333333331</v>
      </c>
      <c r="LO77" s="145">
        <f t="shared" si="110"/>
        <v>-0.41666666666666669</v>
      </c>
      <c r="LP77" s="145">
        <f t="shared" si="110"/>
        <v>0.8571428571428571</v>
      </c>
      <c r="LQ77" s="145">
        <f t="shared" si="110"/>
        <v>0.30769230769230771</v>
      </c>
      <c r="LR77" s="145">
        <f t="shared" si="110"/>
        <v>-0.23529411764705882</v>
      </c>
      <c r="LS77" s="145">
        <f t="shared" si="110"/>
        <v>0.38461538461538464</v>
      </c>
      <c r="LT77" s="145">
        <f t="shared" si="110"/>
        <v>-0.16666666666666666</v>
      </c>
      <c r="LU77" s="145">
        <f t="shared" si="110"/>
        <v>-6.6666666666666666E-2</v>
      </c>
      <c r="LV77" s="145">
        <f t="shared" si="110"/>
        <v>-0.14285714285714285</v>
      </c>
      <c r="LW77" s="145">
        <f t="shared" si="110"/>
        <v>8.3333333333333329E-2</v>
      </c>
      <c r="LX77" s="145">
        <f t="shared" si="110"/>
        <v>-7.6923076923076927E-2</v>
      </c>
      <c r="LY77" s="145">
        <f t="shared" si="111"/>
        <v>-0.41666666666666669</v>
      </c>
      <c r="LZ77" s="145">
        <f t="shared" si="111"/>
        <v>0.42857142857142855</v>
      </c>
      <c r="MA77" s="145">
        <f t="shared" si="111"/>
        <v>0.3</v>
      </c>
      <c r="MB77" s="145">
        <f t="shared" si="111"/>
        <v>-7.6923076923076927E-2</v>
      </c>
      <c r="MC77" s="145">
        <f t="shared" si="111"/>
        <v>0.41666666666666669</v>
      </c>
      <c r="MD77" s="145">
        <f t="shared" si="111"/>
        <v>-0.17647058823529413</v>
      </c>
      <c r="ME77" s="145">
        <f t="shared" si="111"/>
        <v>0.2857142857142857</v>
      </c>
      <c r="MF77" s="145">
        <f t="shared" si="111"/>
        <v>5.5555555555555552E-2</v>
      </c>
      <c r="MG77" s="145">
        <f t="shared" si="111"/>
        <v>0.10526315789473684</v>
      </c>
      <c r="MH77" s="145">
        <f t="shared" si="111"/>
        <v>-0.47619047619047616</v>
      </c>
      <c r="MI77" s="145">
        <f t="shared" si="112"/>
        <v>0.45454545454545453</v>
      </c>
      <c r="MJ77" s="145">
        <f t="shared" si="112"/>
        <v>-0.1875</v>
      </c>
      <c r="MK77" s="145">
        <f t="shared" si="112"/>
        <v>-0.15384615384615385</v>
      </c>
      <c r="ML77" s="145">
        <f t="shared" si="112"/>
        <v>0.18181818181818182</v>
      </c>
      <c r="MM77" s="145">
        <f t="shared" si="112"/>
        <v>0</v>
      </c>
      <c r="MN77" s="145">
        <f t="shared" si="112"/>
        <v>0.53846153846153844</v>
      </c>
      <c r="MO77" s="145">
        <f t="shared" si="112"/>
        <v>0</v>
      </c>
      <c r="MP77" s="145">
        <f t="shared" si="112"/>
        <v>-0.65</v>
      </c>
      <c r="MQ77" s="145">
        <f t="shared" si="112"/>
        <v>0.7142857142857143</v>
      </c>
      <c r="MR77" s="145">
        <f t="shared" si="112"/>
        <v>-0.16666666666666666</v>
      </c>
      <c r="MS77" s="145">
        <f>(EZ77-EY77)/EY77</f>
        <v>0</v>
      </c>
      <c r="MT77" s="145">
        <f t="shared" si="105"/>
        <v>0</v>
      </c>
      <c r="MU77" s="145">
        <f t="shared" si="105"/>
        <v>0.29166666666666669</v>
      </c>
      <c r="MV77" s="145">
        <f t="shared" si="105"/>
        <v>-4.3478260869565216E-2</v>
      </c>
      <c r="MW77" s="145">
        <f t="shared" si="105"/>
        <v>-0.27777777777777779</v>
      </c>
      <c r="MX77" s="145">
        <f t="shared" si="105"/>
        <v>0.25</v>
      </c>
      <c r="MY77" s="145">
        <f t="shared" si="105"/>
        <v>0.14285714285714285</v>
      </c>
      <c r="MZ77" s="145">
        <f t="shared" si="105"/>
        <v>0</v>
      </c>
      <c r="NA77" s="145">
        <f t="shared" si="105"/>
        <v>0.36363636363636365</v>
      </c>
      <c r="NB77" s="145">
        <f t="shared" si="105"/>
        <v>0.16981132075471697</v>
      </c>
      <c r="NC77" s="145">
        <f t="shared" si="105"/>
        <v>-0.15217391304347827</v>
      </c>
      <c r="ND77" s="145">
        <f t="shared" si="106"/>
        <v>2.1276595744680851E-2</v>
      </c>
      <c r="NE77" s="145">
        <f t="shared" si="106"/>
        <v>-0.23684210526315788</v>
      </c>
      <c r="NF77" s="145">
        <f t="shared" si="106"/>
        <v>-0.22580645161290322</v>
      </c>
      <c r="NG77" s="145">
        <f t="shared" si="106"/>
        <v>0.11428571428571428</v>
      </c>
      <c r="NH77" s="145">
        <f t="shared" si="106"/>
        <v>-6.0606060606060608E-2</v>
      </c>
      <c r="NI77" s="145">
        <f t="shared" si="106"/>
        <v>-0.5</v>
      </c>
      <c r="NJ77" s="145">
        <f t="shared" si="106"/>
        <v>4.3478260869565216E-2</v>
      </c>
      <c r="NK77" s="145">
        <f t="shared" si="106"/>
        <v>0.20689655172413793</v>
      </c>
      <c r="NL77" s="145">
        <f t="shared" si="106"/>
        <v>0.35555555555555557</v>
      </c>
      <c r="NM77" s="145">
        <f t="shared" si="106"/>
        <v>-7.1428571428571425E-2</v>
      </c>
      <c r="NN77" s="145">
        <f t="shared" si="107"/>
        <v>0.19230769230769232</v>
      </c>
      <c r="NO77" s="145">
        <f t="shared" si="107"/>
        <v>-0.13043478260869565</v>
      </c>
      <c r="NP77" s="145">
        <f t="shared" si="107"/>
        <v>6.1224489795918366E-2</v>
      </c>
      <c r="NQ77" s="145">
        <f t="shared" si="107"/>
        <v>-0.58064516129032262</v>
      </c>
      <c r="NR77" s="145">
        <f t="shared" si="107"/>
        <v>-0.10714285714285714</v>
      </c>
      <c r="NS77" s="145">
        <f t="shared" si="107"/>
        <v>-0.27272727272727271</v>
      </c>
      <c r="NT77" s="145">
        <f t="shared" si="107"/>
        <v>8.3333333333333329E-2</v>
      </c>
      <c r="NU77" s="145">
        <f t="shared" si="107"/>
        <v>-0.33333333333333331</v>
      </c>
      <c r="NV77" s="145">
        <f t="shared" si="107"/>
        <v>0.28000000000000003</v>
      </c>
      <c r="NW77" s="145">
        <f t="shared" si="107"/>
        <v>-8.6956521739130432E-2</v>
      </c>
      <c r="NX77" s="145">
        <f t="shared" si="108"/>
        <v>0</v>
      </c>
      <c r="NY77" s="145">
        <f t="shared" si="108"/>
        <v>0.30303030303030304</v>
      </c>
      <c r="NZ77" s="145">
        <f t="shared" si="108"/>
        <v>-0.1</v>
      </c>
      <c r="OA77" s="145">
        <f t="shared" si="108"/>
        <v>0.23076923076923078</v>
      </c>
      <c r="OB77" s="145">
        <f t="shared" si="108"/>
        <v>-8.3333333333333329E-2</v>
      </c>
      <c r="OC77" s="145">
        <f t="shared" si="108"/>
        <v>-0.2413793103448276</v>
      </c>
      <c r="OD77" s="145">
        <f t="shared" si="108"/>
        <v>0.23684210526315788</v>
      </c>
      <c r="OE77" s="145">
        <f t="shared" si="108"/>
        <v>-0.52</v>
      </c>
      <c r="OF77" s="145">
        <f t="shared" si="108"/>
        <v>0.24242424242424243</v>
      </c>
      <c r="OG77" s="145">
        <f t="shared" si="108"/>
        <v>-6.4516129032258063E-2</v>
      </c>
      <c r="OH77" s="145">
        <f t="shared" si="108"/>
        <v>-0.40909090909090912</v>
      </c>
      <c r="OI77" s="145">
        <f t="shared" si="108"/>
        <v>8.3333333333333329E-2</v>
      </c>
      <c r="OJ77" s="145">
        <f t="shared" si="108"/>
        <v>0.33333333333333331</v>
      </c>
      <c r="OK77" s="145">
        <f t="shared" si="108"/>
        <v>2.7027027027027029E-2</v>
      </c>
      <c r="OL77" s="145">
        <f t="shared" si="108"/>
        <v>0.26</v>
      </c>
    </row>
    <row r="78" spans="1:402" s="145" customFormat="1" ht="19.5" customHeight="1" x14ac:dyDescent="0.35">
      <c r="A78" s="12" t="s">
        <v>33</v>
      </c>
      <c r="B78" s="156">
        <v>3</v>
      </c>
      <c r="C78" s="156">
        <v>13</v>
      </c>
      <c r="D78" s="156">
        <v>10</v>
      </c>
      <c r="E78" s="156">
        <v>7</v>
      </c>
      <c r="F78" s="156">
        <f>'[1]Jan 08'!C33</f>
        <v>4</v>
      </c>
      <c r="G78" s="143">
        <f>'[1]Feb 08'!C33</f>
        <v>7</v>
      </c>
      <c r="H78" s="143">
        <f>'[1]Mar 08'!C33</f>
        <v>11</v>
      </c>
      <c r="I78" s="143">
        <v>5</v>
      </c>
      <c r="J78" s="143">
        <f>'[1]May 08'!C33</f>
        <v>8</v>
      </c>
      <c r="K78" s="143">
        <f>'[1]Jun 08'!C33</f>
        <v>10</v>
      </c>
      <c r="L78" s="143">
        <f>'[1]Jul 08'!C33</f>
        <v>5</v>
      </c>
      <c r="M78" s="143">
        <f>'[1]Aug 08'!C33</f>
        <v>8</v>
      </c>
      <c r="N78" s="143">
        <v>1</v>
      </c>
      <c r="O78" s="143">
        <v>5</v>
      </c>
      <c r="P78" s="143">
        <v>2</v>
      </c>
      <c r="Q78" s="143">
        <v>5</v>
      </c>
      <c r="R78" s="143">
        <v>2</v>
      </c>
      <c r="S78" s="143">
        <v>6</v>
      </c>
      <c r="T78" s="143">
        <v>9</v>
      </c>
      <c r="U78" s="143">
        <v>5</v>
      </c>
      <c r="V78" s="143">
        <v>6</v>
      </c>
      <c r="W78" s="143">
        <v>5</v>
      </c>
      <c r="X78" s="143">
        <v>9</v>
      </c>
      <c r="Y78" s="143">
        <v>3</v>
      </c>
      <c r="Z78" s="143">
        <v>4</v>
      </c>
      <c r="AA78" s="143">
        <v>5</v>
      </c>
      <c r="AB78" s="143">
        <v>4</v>
      </c>
      <c r="AC78" s="143">
        <v>6</v>
      </c>
      <c r="AD78" s="143">
        <v>9</v>
      </c>
      <c r="AE78" s="143">
        <v>11</v>
      </c>
      <c r="AF78" s="143">
        <v>10</v>
      </c>
      <c r="AG78" s="143">
        <v>7</v>
      </c>
      <c r="AH78" s="143">
        <v>7</v>
      </c>
      <c r="AI78" s="143">
        <v>10</v>
      </c>
      <c r="AJ78" s="143">
        <v>5</v>
      </c>
      <c r="AK78" s="143">
        <v>3</v>
      </c>
      <c r="AL78" s="143">
        <v>3</v>
      </c>
      <c r="AM78" s="143">
        <v>4</v>
      </c>
      <c r="AN78" s="143">
        <v>6</v>
      </c>
      <c r="AO78" s="143">
        <v>8</v>
      </c>
      <c r="AP78" s="143">
        <v>6</v>
      </c>
      <c r="AQ78" s="143">
        <v>6</v>
      </c>
      <c r="AR78" s="143">
        <v>5</v>
      </c>
      <c r="AS78" s="143">
        <v>10</v>
      </c>
      <c r="AT78" s="143">
        <v>6</v>
      </c>
      <c r="AU78" s="143">
        <v>4</v>
      </c>
      <c r="AV78" s="143">
        <v>6</v>
      </c>
      <c r="AW78" s="143">
        <v>6</v>
      </c>
      <c r="AX78" s="143">
        <v>4</v>
      </c>
      <c r="AY78" s="143">
        <v>1</v>
      </c>
      <c r="AZ78" s="143">
        <v>4</v>
      </c>
      <c r="BA78" s="143">
        <v>2</v>
      </c>
      <c r="BB78" s="143">
        <v>3</v>
      </c>
      <c r="BC78" s="143">
        <v>4</v>
      </c>
      <c r="BD78" s="143">
        <v>11</v>
      </c>
      <c r="BE78" s="143">
        <v>6</v>
      </c>
      <c r="BF78" s="143">
        <v>8</v>
      </c>
      <c r="BG78" s="143">
        <v>4</v>
      </c>
      <c r="BH78" s="143">
        <v>4</v>
      </c>
      <c r="BI78" s="143">
        <v>6</v>
      </c>
      <c r="BJ78" s="143">
        <v>2</v>
      </c>
      <c r="BK78" s="143">
        <v>6</v>
      </c>
      <c r="BL78" s="143">
        <v>2</v>
      </c>
      <c r="BM78" s="143">
        <v>6</v>
      </c>
      <c r="BN78" s="143">
        <v>2</v>
      </c>
      <c r="BO78" s="143">
        <v>7</v>
      </c>
      <c r="BP78" s="143">
        <v>6</v>
      </c>
      <c r="BQ78" s="143">
        <v>7</v>
      </c>
      <c r="BR78" s="143">
        <v>12</v>
      </c>
      <c r="BS78" s="143">
        <v>8</v>
      </c>
      <c r="BT78" s="143">
        <v>6</v>
      </c>
      <c r="BU78" s="143">
        <v>3</v>
      </c>
      <c r="BV78" s="143">
        <v>1</v>
      </c>
      <c r="BW78" s="143">
        <v>3</v>
      </c>
      <c r="BX78" s="143">
        <v>2</v>
      </c>
      <c r="BY78" s="143">
        <v>6</v>
      </c>
      <c r="BZ78" s="143">
        <v>6</v>
      </c>
      <c r="CA78" s="143">
        <v>5</v>
      </c>
      <c r="CB78" s="143">
        <v>9</v>
      </c>
      <c r="CC78" s="143">
        <v>16</v>
      </c>
      <c r="CD78" s="143">
        <v>6</v>
      </c>
      <c r="CE78" s="143">
        <v>6</v>
      </c>
      <c r="CF78" s="143">
        <v>3</v>
      </c>
      <c r="CG78" s="143">
        <v>7</v>
      </c>
      <c r="CH78" s="143">
        <v>7</v>
      </c>
      <c r="CI78" s="143">
        <v>7</v>
      </c>
      <c r="CJ78" s="143">
        <v>8</v>
      </c>
      <c r="CK78" s="143">
        <v>6</v>
      </c>
      <c r="CL78" s="143">
        <v>6</v>
      </c>
      <c r="CM78" s="143">
        <v>14</v>
      </c>
      <c r="CN78" s="143">
        <v>11</v>
      </c>
      <c r="CO78" s="143">
        <v>7</v>
      </c>
      <c r="CP78" s="143">
        <v>8</v>
      </c>
      <c r="CQ78" s="143">
        <v>6</v>
      </c>
      <c r="CR78" s="143">
        <v>3</v>
      </c>
      <c r="CS78" s="143">
        <v>5</v>
      </c>
      <c r="CT78" s="143">
        <v>3</v>
      </c>
      <c r="CU78" s="143">
        <v>5</v>
      </c>
      <c r="CV78" s="143">
        <v>3</v>
      </c>
      <c r="CW78" s="143">
        <v>9</v>
      </c>
      <c r="CX78" s="143">
        <v>8</v>
      </c>
      <c r="CY78" s="143">
        <v>8</v>
      </c>
      <c r="CZ78" s="143">
        <v>10</v>
      </c>
      <c r="DA78" s="143">
        <v>11</v>
      </c>
      <c r="DB78" s="143">
        <v>14</v>
      </c>
      <c r="DC78" s="143">
        <v>6</v>
      </c>
      <c r="DD78" s="143">
        <v>13</v>
      </c>
      <c r="DE78" s="143">
        <v>3</v>
      </c>
      <c r="DF78" s="143">
        <v>9</v>
      </c>
      <c r="DG78" s="143">
        <v>4</v>
      </c>
      <c r="DH78" s="143">
        <v>9</v>
      </c>
      <c r="DI78" s="143">
        <v>6</v>
      </c>
      <c r="DJ78" s="143">
        <v>8</v>
      </c>
      <c r="DK78" s="143">
        <v>13</v>
      </c>
      <c r="DL78" s="143">
        <v>11</v>
      </c>
      <c r="DM78" s="143">
        <v>7</v>
      </c>
      <c r="DN78" s="143">
        <v>5</v>
      </c>
      <c r="DO78" s="143">
        <v>11</v>
      </c>
      <c r="DP78" s="143">
        <v>6</v>
      </c>
      <c r="DQ78" s="143">
        <v>13</v>
      </c>
      <c r="DR78" s="143">
        <v>3</v>
      </c>
      <c r="DS78" s="143">
        <v>6</v>
      </c>
      <c r="DT78" s="143">
        <v>9</v>
      </c>
      <c r="DU78" s="143">
        <v>10</v>
      </c>
      <c r="DV78" s="143">
        <v>4</v>
      </c>
      <c r="DW78" s="143">
        <v>9</v>
      </c>
      <c r="DX78" s="143">
        <v>14</v>
      </c>
      <c r="DY78" s="143">
        <v>10</v>
      </c>
      <c r="DZ78" s="143">
        <v>19</v>
      </c>
      <c r="EA78" s="143">
        <v>12</v>
      </c>
      <c r="EB78" s="143">
        <v>10</v>
      </c>
      <c r="EC78" s="143">
        <v>13</v>
      </c>
      <c r="ED78" s="143">
        <v>8</v>
      </c>
      <c r="EE78" s="143">
        <v>13</v>
      </c>
      <c r="EF78" s="143">
        <v>7</v>
      </c>
      <c r="EG78" s="143">
        <v>4</v>
      </c>
      <c r="EH78" s="143">
        <v>8</v>
      </c>
      <c r="EI78" s="143">
        <v>8</v>
      </c>
      <c r="EJ78" s="143">
        <v>17</v>
      </c>
      <c r="EK78" s="143">
        <v>15</v>
      </c>
      <c r="EL78" s="143">
        <v>17</v>
      </c>
      <c r="EM78" s="143">
        <v>15</v>
      </c>
      <c r="EN78" s="143">
        <v>17</v>
      </c>
      <c r="EO78" s="143">
        <v>11</v>
      </c>
      <c r="EP78" s="143">
        <v>9</v>
      </c>
      <c r="EQ78" s="143">
        <v>17</v>
      </c>
      <c r="ER78" s="143">
        <v>19</v>
      </c>
      <c r="ES78" s="143">
        <v>10</v>
      </c>
      <c r="ET78" s="143">
        <v>14</v>
      </c>
      <c r="EU78" s="143">
        <v>20</v>
      </c>
      <c r="EV78" s="143">
        <v>20</v>
      </c>
      <c r="EW78" s="143">
        <v>7</v>
      </c>
      <c r="EX78" s="143">
        <v>12</v>
      </c>
      <c r="EY78" s="143">
        <v>9</v>
      </c>
      <c r="EZ78" s="143">
        <v>24</v>
      </c>
      <c r="FA78" s="143">
        <v>18</v>
      </c>
      <c r="FB78" s="143">
        <v>21</v>
      </c>
      <c r="FC78" s="143">
        <v>31</v>
      </c>
      <c r="FD78" s="143">
        <v>23</v>
      </c>
      <c r="FE78" s="143">
        <v>41</v>
      </c>
      <c r="FF78" s="143">
        <v>26</v>
      </c>
      <c r="FG78" s="143">
        <v>30</v>
      </c>
      <c r="FH78" s="143">
        <v>43</v>
      </c>
      <c r="FI78" s="143">
        <v>59</v>
      </c>
      <c r="FJ78" s="143">
        <v>41</v>
      </c>
      <c r="FK78" s="143">
        <v>45</v>
      </c>
      <c r="FL78" s="143">
        <v>28</v>
      </c>
      <c r="FM78" s="143">
        <v>29</v>
      </c>
      <c r="FN78" s="143">
        <v>29</v>
      </c>
      <c r="FO78" s="143">
        <v>31</v>
      </c>
      <c r="FP78" s="143">
        <v>30</v>
      </c>
      <c r="FQ78" s="143">
        <v>36</v>
      </c>
      <c r="FR78" s="143">
        <v>31</v>
      </c>
      <c r="FS78" s="143">
        <v>38</v>
      </c>
      <c r="FT78" s="143">
        <v>51</v>
      </c>
      <c r="FU78" s="143">
        <v>42</v>
      </c>
      <c r="FV78" s="143">
        <v>44</v>
      </c>
      <c r="FW78" s="143">
        <v>33</v>
      </c>
      <c r="FX78" s="143">
        <v>25</v>
      </c>
      <c r="FY78" s="143">
        <v>24</v>
      </c>
      <c r="FZ78" s="143">
        <v>21</v>
      </c>
      <c r="GA78" s="143">
        <v>20</v>
      </c>
      <c r="GB78" s="143">
        <v>15</v>
      </c>
      <c r="GC78" s="143">
        <v>27</v>
      </c>
      <c r="GD78" s="143">
        <v>19</v>
      </c>
      <c r="GE78" s="143">
        <v>29</v>
      </c>
      <c r="GF78" s="143">
        <v>34</v>
      </c>
      <c r="GG78" s="143">
        <v>31</v>
      </c>
      <c r="GH78" s="143">
        <v>43</v>
      </c>
      <c r="GI78" s="143">
        <v>46</v>
      </c>
      <c r="GJ78" s="143">
        <v>24</v>
      </c>
      <c r="GK78" s="143">
        <v>39</v>
      </c>
      <c r="GL78" s="143">
        <v>26</v>
      </c>
      <c r="GM78" s="143">
        <v>30</v>
      </c>
      <c r="GN78" s="143">
        <v>32</v>
      </c>
      <c r="GO78" s="143">
        <v>21</v>
      </c>
      <c r="GP78" s="143">
        <v>22</v>
      </c>
      <c r="GQ78" s="143">
        <v>38</v>
      </c>
      <c r="GR78" s="143">
        <v>43</v>
      </c>
      <c r="GS78" s="143">
        <f>SUM(B78:GR78)/198</f>
        <v>13.161616161616161</v>
      </c>
      <c r="GT78" s="152"/>
      <c r="GU78" s="12" t="s">
        <v>33</v>
      </c>
      <c r="GV78" s="145" t="s">
        <v>30</v>
      </c>
      <c r="GW78" s="145">
        <f t="shared" si="113"/>
        <v>3.3333333333333335</v>
      </c>
      <c r="GX78" s="145">
        <f t="shared" si="113"/>
        <v>-0.23076923076923078</v>
      </c>
      <c r="GY78" s="145">
        <f t="shared" si="113"/>
        <v>-0.3</v>
      </c>
      <c r="GZ78" s="145">
        <f t="shared" si="113"/>
        <v>-0.42857142857142855</v>
      </c>
      <c r="HA78" s="145">
        <f t="shared" si="113"/>
        <v>0.75</v>
      </c>
      <c r="HB78" s="145">
        <f t="shared" si="113"/>
        <v>0.5714285714285714</v>
      </c>
      <c r="HC78" s="145">
        <f t="shared" si="113"/>
        <v>-0.54545454545454541</v>
      </c>
      <c r="HD78" s="145">
        <f t="shared" si="113"/>
        <v>0.6</v>
      </c>
      <c r="HE78" s="145">
        <f t="shared" si="113"/>
        <v>0.25</v>
      </c>
      <c r="HF78" s="145">
        <f t="shared" si="113"/>
        <v>-0.5</v>
      </c>
      <c r="HG78" s="145">
        <f t="shared" si="114"/>
        <v>0.6</v>
      </c>
      <c r="HH78" s="145">
        <f t="shared" si="114"/>
        <v>-0.875</v>
      </c>
      <c r="HI78" s="145">
        <f t="shared" si="114"/>
        <v>4</v>
      </c>
      <c r="HJ78" s="145">
        <f t="shared" si="114"/>
        <v>-0.6</v>
      </c>
      <c r="HK78" s="145">
        <f t="shared" si="114"/>
        <v>1.5</v>
      </c>
      <c r="HL78" s="145">
        <f t="shared" si="114"/>
        <v>-0.6</v>
      </c>
      <c r="HM78" s="145">
        <f t="shared" si="114"/>
        <v>2</v>
      </c>
      <c r="HN78" s="145">
        <f t="shared" si="114"/>
        <v>0.5</v>
      </c>
      <c r="HO78" s="145">
        <f t="shared" si="114"/>
        <v>-0.44444444444444442</v>
      </c>
      <c r="HP78" s="145">
        <f t="shared" si="114"/>
        <v>0.2</v>
      </c>
      <c r="HQ78" s="145">
        <f t="shared" si="115"/>
        <v>-0.16666666666666666</v>
      </c>
      <c r="HR78" s="145">
        <f t="shared" si="115"/>
        <v>0.8</v>
      </c>
      <c r="HS78" s="145">
        <f t="shared" si="115"/>
        <v>-0.66666666666666663</v>
      </c>
      <c r="HT78" s="145">
        <f t="shared" si="115"/>
        <v>0.33333333333333331</v>
      </c>
      <c r="HU78" s="145">
        <f t="shared" si="115"/>
        <v>0.25</v>
      </c>
      <c r="HV78" s="145">
        <f t="shared" si="115"/>
        <v>-0.2</v>
      </c>
      <c r="HW78" s="145">
        <f t="shared" si="115"/>
        <v>0.5</v>
      </c>
      <c r="HX78" s="145">
        <f t="shared" si="115"/>
        <v>0.5</v>
      </c>
      <c r="HY78" s="145">
        <f t="shared" si="115"/>
        <v>0.22222222222222221</v>
      </c>
      <c r="HZ78" s="145">
        <f t="shared" si="115"/>
        <v>-9.0909090909090912E-2</v>
      </c>
      <c r="IA78" s="145">
        <f t="shared" si="116"/>
        <v>-0.3</v>
      </c>
      <c r="IB78" s="145">
        <f t="shared" si="116"/>
        <v>0</v>
      </c>
      <c r="IC78" s="145">
        <f t="shared" si="116"/>
        <v>0.42857142857142855</v>
      </c>
      <c r="ID78" s="145">
        <f t="shared" si="116"/>
        <v>-0.5</v>
      </c>
      <c r="IE78" s="145">
        <f t="shared" si="116"/>
        <v>-0.4</v>
      </c>
      <c r="IF78" s="145">
        <f t="shared" si="116"/>
        <v>0</v>
      </c>
      <c r="IG78" s="145">
        <f t="shared" si="116"/>
        <v>0.33333333333333331</v>
      </c>
      <c r="IH78" s="145">
        <f t="shared" si="116"/>
        <v>0.5</v>
      </c>
      <c r="II78" s="145">
        <f t="shared" si="116"/>
        <v>0.33333333333333331</v>
      </c>
      <c r="IJ78" s="145">
        <f t="shared" si="116"/>
        <v>-0.25</v>
      </c>
      <c r="IK78" s="145">
        <f t="shared" si="117"/>
        <v>0</v>
      </c>
      <c r="IL78" s="145">
        <f t="shared" si="117"/>
        <v>-0.16666666666666666</v>
      </c>
      <c r="IM78" s="145">
        <f t="shared" si="117"/>
        <v>1</v>
      </c>
      <c r="IN78" s="145">
        <f t="shared" si="117"/>
        <v>-0.4</v>
      </c>
      <c r="IO78" s="145">
        <f t="shared" si="117"/>
        <v>-0.33333333333333331</v>
      </c>
      <c r="IP78" s="145">
        <f t="shared" si="117"/>
        <v>0.5</v>
      </c>
      <c r="IQ78" s="145">
        <f t="shared" si="117"/>
        <v>0</v>
      </c>
      <c r="IR78" s="145">
        <f t="shared" si="117"/>
        <v>-0.33333333333333331</v>
      </c>
      <c r="IS78" s="145">
        <f t="shared" si="117"/>
        <v>-0.75</v>
      </c>
      <c r="IT78" s="145">
        <f t="shared" si="117"/>
        <v>3</v>
      </c>
      <c r="IU78" s="145">
        <f t="shared" si="118"/>
        <v>-0.5</v>
      </c>
      <c r="IV78" s="145">
        <f t="shared" si="118"/>
        <v>0.5</v>
      </c>
      <c r="IW78" s="145">
        <f t="shared" si="118"/>
        <v>0.33333333333333331</v>
      </c>
      <c r="IX78" s="145">
        <f t="shared" si="118"/>
        <v>1.75</v>
      </c>
      <c r="IY78" s="145">
        <f t="shared" si="118"/>
        <v>-0.45454545454545453</v>
      </c>
      <c r="IZ78" s="145">
        <f t="shared" si="118"/>
        <v>0.33333333333333331</v>
      </c>
      <c r="JA78" s="145">
        <f t="shared" si="118"/>
        <v>-0.5</v>
      </c>
      <c r="JB78" s="145">
        <f t="shared" si="118"/>
        <v>0</v>
      </c>
      <c r="JC78" s="145">
        <f t="shared" si="118"/>
        <v>0.5</v>
      </c>
      <c r="JD78" s="145">
        <f t="shared" si="118"/>
        <v>-0.66666666666666663</v>
      </c>
      <c r="JE78" s="145">
        <f t="shared" si="119"/>
        <v>2</v>
      </c>
      <c r="JF78" s="145">
        <f t="shared" si="119"/>
        <v>-0.66666666666666663</v>
      </c>
      <c r="JG78" s="145">
        <f t="shared" si="119"/>
        <v>2</v>
      </c>
      <c r="JH78" s="145">
        <f t="shared" si="119"/>
        <v>-0.66666666666666663</v>
      </c>
      <c r="JI78" s="145">
        <f t="shared" si="119"/>
        <v>2.5</v>
      </c>
      <c r="JJ78" s="145">
        <f t="shared" si="119"/>
        <v>-0.14285714285714285</v>
      </c>
      <c r="JK78" s="145">
        <f t="shared" si="119"/>
        <v>0.16666666666666666</v>
      </c>
      <c r="JL78" s="145">
        <f t="shared" si="119"/>
        <v>0.7142857142857143</v>
      </c>
      <c r="JM78" s="145">
        <f t="shared" si="119"/>
        <v>-0.33333333333333331</v>
      </c>
      <c r="JN78" s="145">
        <f t="shared" si="119"/>
        <v>-0.25</v>
      </c>
      <c r="JO78" s="145">
        <f t="shared" si="120"/>
        <v>-0.5</v>
      </c>
      <c r="JP78" s="145">
        <f t="shared" si="120"/>
        <v>-0.66666666666666663</v>
      </c>
      <c r="JQ78" s="145">
        <f t="shared" si="120"/>
        <v>2</v>
      </c>
      <c r="JR78" s="145">
        <f t="shared" si="120"/>
        <v>-0.33333333333333331</v>
      </c>
      <c r="JS78" s="145">
        <f t="shared" si="120"/>
        <v>2</v>
      </c>
      <c r="JT78" s="145">
        <f t="shared" si="120"/>
        <v>0</v>
      </c>
      <c r="JU78" s="145">
        <f t="shared" si="120"/>
        <v>-0.16666666666666666</v>
      </c>
      <c r="JV78" s="145">
        <f t="shared" si="120"/>
        <v>0.8</v>
      </c>
      <c r="JW78" s="145">
        <f t="shared" si="120"/>
        <v>0.77777777777777779</v>
      </c>
      <c r="JX78" s="145">
        <f t="shared" si="120"/>
        <v>-0.625</v>
      </c>
      <c r="JY78" s="145">
        <f t="shared" si="121"/>
        <v>0</v>
      </c>
      <c r="JZ78" s="145">
        <f t="shared" si="121"/>
        <v>-0.5</v>
      </c>
      <c r="KA78" s="145">
        <f t="shared" si="121"/>
        <v>1.3333333333333333</v>
      </c>
      <c r="KB78" s="145">
        <f t="shared" si="121"/>
        <v>0</v>
      </c>
      <c r="KC78" s="145">
        <f t="shared" si="121"/>
        <v>0</v>
      </c>
      <c r="KD78" s="145">
        <f t="shared" si="121"/>
        <v>0.14285714285714285</v>
      </c>
      <c r="KE78" s="145">
        <f t="shared" si="121"/>
        <v>-0.25</v>
      </c>
      <c r="KF78" s="145">
        <f t="shared" si="121"/>
        <v>0</v>
      </c>
      <c r="KG78" s="145">
        <f t="shared" si="121"/>
        <v>1.3333333333333333</v>
      </c>
      <c r="KH78" s="145">
        <f t="shared" si="121"/>
        <v>-0.21428571428571427</v>
      </c>
      <c r="KI78" s="145">
        <f t="shared" si="122"/>
        <v>-0.36363636363636365</v>
      </c>
      <c r="KJ78" s="145">
        <f t="shared" si="122"/>
        <v>0.14285714285714285</v>
      </c>
      <c r="KK78" s="145">
        <f t="shared" si="122"/>
        <v>-0.25</v>
      </c>
      <c r="KL78" s="145">
        <f t="shared" si="122"/>
        <v>-0.5</v>
      </c>
      <c r="KM78" s="145">
        <f t="shared" si="122"/>
        <v>0.66666666666666663</v>
      </c>
      <c r="KN78" s="145">
        <f t="shared" si="122"/>
        <v>-0.4</v>
      </c>
      <c r="KO78" s="145">
        <f t="shared" si="122"/>
        <v>0.66666666666666663</v>
      </c>
      <c r="KP78" s="145">
        <f t="shared" si="122"/>
        <v>-0.4</v>
      </c>
      <c r="KQ78" s="145">
        <f t="shared" si="122"/>
        <v>2</v>
      </c>
      <c r="KR78" s="145">
        <f t="shared" si="122"/>
        <v>-0.1111111111111111</v>
      </c>
      <c r="KS78" s="145">
        <f t="shared" si="123"/>
        <v>0</v>
      </c>
      <c r="KT78" s="145">
        <f t="shared" si="123"/>
        <v>0.25</v>
      </c>
      <c r="KU78" s="145">
        <f t="shared" si="123"/>
        <v>0.1</v>
      </c>
      <c r="KV78" s="145">
        <f t="shared" si="123"/>
        <v>0.27272727272727271</v>
      </c>
      <c r="KW78" s="145">
        <f t="shared" si="123"/>
        <v>-0.5714285714285714</v>
      </c>
      <c r="KX78" s="145">
        <f t="shared" si="123"/>
        <v>1.1666666666666667</v>
      </c>
      <c r="KY78" s="145">
        <f t="shared" si="123"/>
        <v>-0.76923076923076927</v>
      </c>
      <c r="KZ78" s="145">
        <f t="shared" si="123"/>
        <v>2</v>
      </c>
      <c r="LA78" s="145">
        <f t="shared" si="123"/>
        <v>-0.55555555555555558</v>
      </c>
      <c r="LB78" s="145">
        <f t="shared" si="123"/>
        <v>1.25</v>
      </c>
      <c r="LC78" s="145">
        <f t="shared" si="124"/>
        <v>-0.33333333333333331</v>
      </c>
      <c r="LD78" s="145">
        <f t="shared" si="124"/>
        <v>0.33333333333333331</v>
      </c>
      <c r="LE78" s="145">
        <f t="shared" si="109"/>
        <v>0.625</v>
      </c>
      <c r="LF78" s="145">
        <f t="shared" si="109"/>
        <v>-0.15384615384615385</v>
      </c>
      <c r="LG78" s="145">
        <f t="shared" si="109"/>
        <v>-0.36363636363636365</v>
      </c>
      <c r="LH78" s="145">
        <f t="shared" si="109"/>
        <v>-0.2857142857142857</v>
      </c>
      <c r="LI78" s="145">
        <f t="shared" si="109"/>
        <v>1.2</v>
      </c>
      <c r="LJ78" s="145">
        <f t="shared" si="109"/>
        <v>-0.45454545454545453</v>
      </c>
      <c r="LK78" s="145">
        <f t="shared" si="109"/>
        <v>1.1666666666666667</v>
      </c>
      <c r="LL78" s="145">
        <f t="shared" si="109"/>
        <v>-0.76923076923076927</v>
      </c>
      <c r="LM78" s="145">
        <f t="shared" si="109"/>
        <v>1</v>
      </c>
      <c r="LN78" s="145">
        <f t="shared" si="109"/>
        <v>0.5</v>
      </c>
      <c r="LO78" s="145">
        <f t="shared" si="110"/>
        <v>0.1111111111111111</v>
      </c>
      <c r="LP78" s="145">
        <f t="shared" si="110"/>
        <v>-0.6</v>
      </c>
      <c r="LQ78" s="145">
        <f t="shared" si="110"/>
        <v>1.25</v>
      </c>
      <c r="LR78" s="145">
        <f t="shared" si="110"/>
        <v>0.55555555555555558</v>
      </c>
      <c r="LS78" s="145">
        <f t="shared" si="110"/>
        <v>-0.2857142857142857</v>
      </c>
      <c r="LT78" s="145">
        <f t="shared" si="110"/>
        <v>0.9</v>
      </c>
      <c r="LU78" s="145">
        <f t="shared" si="110"/>
        <v>-0.36842105263157893</v>
      </c>
      <c r="LV78" s="145">
        <f t="shared" si="110"/>
        <v>-0.16666666666666666</v>
      </c>
      <c r="LW78" s="145">
        <f t="shared" si="110"/>
        <v>0.3</v>
      </c>
      <c r="LX78" s="145">
        <f t="shared" si="110"/>
        <v>-0.38461538461538464</v>
      </c>
      <c r="LY78" s="145">
        <f t="shared" si="111"/>
        <v>0.625</v>
      </c>
      <c r="LZ78" s="145">
        <f t="shared" si="111"/>
        <v>-0.46153846153846156</v>
      </c>
      <c r="MA78" s="145">
        <f t="shared" si="111"/>
        <v>-0.42857142857142855</v>
      </c>
      <c r="MB78" s="145">
        <f t="shared" si="111"/>
        <v>1</v>
      </c>
      <c r="MC78" s="145">
        <f t="shared" si="111"/>
        <v>0</v>
      </c>
      <c r="MD78" s="145">
        <f t="shared" si="111"/>
        <v>1.125</v>
      </c>
      <c r="ME78" s="145">
        <f t="shared" si="111"/>
        <v>-0.11764705882352941</v>
      </c>
      <c r="MF78" s="145">
        <f t="shared" si="111"/>
        <v>0.13333333333333333</v>
      </c>
      <c r="MG78" s="145">
        <f t="shared" si="111"/>
        <v>-0.11764705882352941</v>
      </c>
      <c r="MH78" s="145">
        <f t="shared" si="111"/>
        <v>0.13333333333333333</v>
      </c>
      <c r="MI78" s="145">
        <f t="shared" si="112"/>
        <v>-0.35294117647058826</v>
      </c>
      <c r="MJ78" s="145">
        <f t="shared" si="112"/>
        <v>-0.18181818181818182</v>
      </c>
      <c r="MK78" s="145">
        <f t="shared" si="112"/>
        <v>0.88888888888888884</v>
      </c>
      <c r="ML78" s="145">
        <f t="shared" si="112"/>
        <v>0.11764705882352941</v>
      </c>
      <c r="MM78" s="145">
        <f t="shared" si="112"/>
        <v>-0.47368421052631576</v>
      </c>
      <c r="MN78" s="145">
        <f t="shared" si="112"/>
        <v>0.4</v>
      </c>
      <c r="MO78" s="145">
        <f t="shared" si="112"/>
        <v>0.42857142857142855</v>
      </c>
      <c r="MP78" s="145">
        <f t="shared" si="112"/>
        <v>0</v>
      </c>
      <c r="MQ78" s="145">
        <f t="shared" si="112"/>
        <v>-0.65</v>
      </c>
      <c r="MR78" s="145">
        <f t="shared" si="112"/>
        <v>0.7142857142857143</v>
      </c>
      <c r="MS78" s="145">
        <f>(EZ78-EY78)/EY78</f>
        <v>1.6666666666666667</v>
      </c>
      <c r="MT78" s="145">
        <f t="shared" si="105"/>
        <v>0.625</v>
      </c>
      <c r="MU78" s="145">
        <f t="shared" si="105"/>
        <v>-0.33333333333333331</v>
      </c>
      <c r="MV78" s="145">
        <f t="shared" si="105"/>
        <v>0.14285714285714285</v>
      </c>
      <c r="MW78" s="145">
        <f t="shared" si="105"/>
        <v>0.32258064516129031</v>
      </c>
      <c r="MX78" s="145">
        <f t="shared" si="105"/>
        <v>-0.34782608695652173</v>
      </c>
      <c r="MY78" s="145">
        <f t="shared" si="105"/>
        <v>0.43902439024390244</v>
      </c>
      <c r="MZ78" s="145">
        <f t="shared" si="105"/>
        <v>-0.57692307692307687</v>
      </c>
      <c r="NA78" s="145">
        <f t="shared" si="105"/>
        <v>0.13333333333333333</v>
      </c>
      <c r="NB78" s="145">
        <f t="shared" si="105"/>
        <v>0.30232558139534882</v>
      </c>
      <c r="NC78" s="145">
        <f t="shared" si="105"/>
        <v>0.2711864406779661</v>
      </c>
      <c r="ND78" s="145">
        <f t="shared" si="106"/>
        <v>-0.43902439024390244</v>
      </c>
      <c r="NE78" s="145">
        <f t="shared" si="106"/>
        <v>8.8888888888888892E-2</v>
      </c>
      <c r="NF78" s="145">
        <f t="shared" si="106"/>
        <v>-0.6071428571428571</v>
      </c>
      <c r="NG78" s="145">
        <f t="shared" si="106"/>
        <v>3.4482758620689655E-2</v>
      </c>
      <c r="NH78" s="145">
        <f t="shared" si="106"/>
        <v>0</v>
      </c>
      <c r="NI78" s="145">
        <f t="shared" si="106"/>
        <v>6.4516129032258063E-2</v>
      </c>
      <c r="NJ78" s="145">
        <f t="shared" si="106"/>
        <v>-3.3333333333333333E-2</v>
      </c>
      <c r="NK78" s="145">
        <f t="shared" si="106"/>
        <v>0.16666666666666666</v>
      </c>
      <c r="NL78" s="145">
        <f t="shared" si="106"/>
        <v>-0.16129032258064516</v>
      </c>
      <c r="NM78" s="145">
        <f t="shared" si="106"/>
        <v>0.18421052631578946</v>
      </c>
      <c r="NN78" s="145">
        <f t="shared" si="107"/>
        <v>0.25490196078431371</v>
      </c>
      <c r="NO78" s="145">
        <f t="shared" si="107"/>
        <v>-0.21428571428571427</v>
      </c>
      <c r="NP78" s="145">
        <f t="shared" si="107"/>
        <v>4.5454545454545456E-2</v>
      </c>
      <c r="NQ78" s="145">
        <f t="shared" si="107"/>
        <v>-0.33333333333333331</v>
      </c>
      <c r="NR78" s="145">
        <f t="shared" si="107"/>
        <v>-0.32</v>
      </c>
      <c r="NS78" s="145">
        <f t="shared" si="107"/>
        <v>-4.1666666666666664E-2</v>
      </c>
      <c r="NT78" s="145">
        <f t="shared" si="107"/>
        <v>-0.14285714285714285</v>
      </c>
      <c r="NU78" s="145">
        <f t="shared" si="107"/>
        <v>-0.05</v>
      </c>
      <c r="NV78" s="145">
        <f t="shared" si="107"/>
        <v>-0.33333333333333331</v>
      </c>
      <c r="NW78" s="145">
        <f t="shared" si="107"/>
        <v>0.44444444444444442</v>
      </c>
      <c r="NX78" s="145">
        <f t="shared" si="108"/>
        <v>-0.42105263157894735</v>
      </c>
      <c r="NY78" s="145">
        <f t="shared" si="108"/>
        <v>0.34482758620689657</v>
      </c>
      <c r="NZ78" s="145">
        <f t="shared" si="108"/>
        <v>0.14705882352941177</v>
      </c>
      <c r="OA78" s="145">
        <f t="shared" si="108"/>
        <v>-9.6774193548387094E-2</v>
      </c>
      <c r="OB78" s="145">
        <f t="shared" si="108"/>
        <v>0.27906976744186046</v>
      </c>
      <c r="OC78" s="145">
        <f t="shared" si="108"/>
        <v>6.5217391304347824E-2</v>
      </c>
      <c r="OD78" s="145">
        <f t="shared" si="108"/>
        <v>-0.91666666666666663</v>
      </c>
      <c r="OE78" s="145">
        <f t="shared" si="108"/>
        <v>0.38461538461538464</v>
      </c>
      <c r="OF78" s="145">
        <f t="shared" si="108"/>
        <v>-0.5</v>
      </c>
      <c r="OG78" s="145">
        <f t="shared" si="108"/>
        <v>0.13333333333333333</v>
      </c>
      <c r="OH78" s="145">
        <f t="shared" si="108"/>
        <v>6.25E-2</v>
      </c>
      <c r="OI78" s="145">
        <f t="shared" si="108"/>
        <v>-0.52380952380952384</v>
      </c>
      <c r="OJ78" s="145">
        <f t="shared" si="108"/>
        <v>4.5454545454545456E-2</v>
      </c>
      <c r="OK78" s="145">
        <f t="shared" si="108"/>
        <v>0.42105263157894735</v>
      </c>
      <c r="OL78" s="145">
        <f t="shared" si="108"/>
        <v>0.11627906976744186</v>
      </c>
    </row>
    <row r="79" spans="1:402" s="145" customFormat="1" ht="19.5" customHeight="1" x14ac:dyDescent="0.35">
      <c r="A79" s="12" t="s">
        <v>34</v>
      </c>
      <c r="B79" s="156">
        <v>8</v>
      </c>
      <c r="C79" s="156">
        <v>6</v>
      </c>
      <c r="D79" s="156">
        <v>5</v>
      </c>
      <c r="E79" s="156">
        <v>15</v>
      </c>
      <c r="F79" s="156">
        <f>'[1]Jan 08'!C35</f>
        <v>3</v>
      </c>
      <c r="G79" s="143">
        <f>'[1]Feb 08'!C35</f>
        <v>8</v>
      </c>
      <c r="H79" s="143">
        <f>'[1]Mar 08'!C35</f>
        <v>10</v>
      </c>
      <c r="I79" s="143">
        <v>8</v>
      </c>
      <c r="J79" s="143">
        <f>'[1]May 08'!C35</f>
        <v>12</v>
      </c>
      <c r="K79" s="143">
        <f>'[1]Jun 08'!C35</f>
        <v>25</v>
      </c>
      <c r="L79" s="143">
        <f>'[1]Jul 08'!C35</f>
        <v>13</v>
      </c>
      <c r="M79" s="143">
        <f>'[1]Aug 08'!C35</f>
        <v>11</v>
      </c>
      <c r="N79" s="143">
        <v>24</v>
      </c>
      <c r="O79" s="143">
        <v>7</v>
      </c>
      <c r="P79" s="143">
        <v>7</v>
      </c>
      <c r="Q79" s="143">
        <v>18</v>
      </c>
      <c r="R79" s="143">
        <v>6</v>
      </c>
      <c r="S79" s="143">
        <v>8</v>
      </c>
      <c r="T79" s="143">
        <v>12</v>
      </c>
      <c r="U79" s="143">
        <v>12</v>
      </c>
      <c r="V79" s="143">
        <v>14</v>
      </c>
      <c r="W79" s="143">
        <v>25</v>
      </c>
      <c r="X79" s="143">
        <v>18</v>
      </c>
      <c r="Y79" s="143">
        <v>7</v>
      </c>
      <c r="Z79" s="143">
        <v>9</v>
      </c>
      <c r="AA79" s="143">
        <v>3</v>
      </c>
      <c r="AB79" s="143">
        <v>8</v>
      </c>
      <c r="AC79" s="143">
        <v>7</v>
      </c>
      <c r="AD79" s="143">
        <v>4</v>
      </c>
      <c r="AE79" s="143">
        <v>6</v>
      </c>
      <c r="AF79" s="143">
        <v>4</v>
      </c>
      <c r="AG79" s="143">
        <v>5</v>
      </c>
      <c r="AH79" s="143">
        <v>8</v>
      </c>
      <c r="AI79" s="143">
        <v>13</v>
      </c>
      <c r="AJ79" s="143">
        <v>6</v>
      </c>
      <c r="AK79" s="143">
        <v>2</v>
      </c>
      <c r="AL79" s="143">
        <v>3</v>
      </c>
      <c r="AM79" s="143">
        <v>7</v>
      </c>
      <c r="AN79" s="143">
        <v>2</v>
      </c>
      <c r="AO79" s="143">
        <v>2</v>
      </c>
      <c r="AP79" s="143">
        <v>0</v>
      </c>
      <c r="AQ79" s="143">
        <v>1</v>
      </c>
      <c r="AR79" s="143">
        <v>0</v>
      </c>
      <c r="AS79" s="143">
        <v>4</v>
      </c>
      <c r="AT79" s="143">
        <v>12</v>
      </c>
      <c r="AU79" s="143">
        <v>6</v>
      </c>
      <c r="AV79" s="143">
        <v>4</v>
      </c>
      <c r="AW79" s="143">
        <v>3</v>
      </c>
      <c r="AX79" s="143">
        <v>2</v>
      </c>
      <c r="AY79" s="143">
        <v>1</v>
      </c>
      <c r="AZ79" s="143">
        <v>2</v>
      </c>
      <c r="BA79" s="143">
        <v>2</v>
      </c>
      <c r="BB79" s="143">
        <v>3</v>
      </c>
      <c r="BC79" s="143">
        <v>2</v>
      </c>
      <c r="BD79" s="143">
        <v>0</v>
      </c>
      <c r="BE79" s="143">
        <v>1</v>
      </c>
      <c r="BF79" s="143">
        <v>5</v>
      </c>
      <c r="BG79" s="143">
        <v>2</v>
      </c>
      <c r="BH79" s="143">
        <v>6</v>
      </c>
      <c r="BI79" s="143">
        <v>2</v>
      </c>
      <c r="BJ79" s="143">
        <v>4</v>
      </c>
      <c r="BK79" s="143">
        <v>2</v>
      </c>
      <c r="BL79" s="143">
        <v>0</v>
      </c>
      <c r="BM79" s="143">
        <v>5</v>
      </c>
      <c r="BN79" s="143">
        <v>0</v>
      </c>
      <c r="BO79" s="143">
        <v>3</v>
      </c>
      <c r="BP79" s="143">
        <v>1</v>
      </c>
      <c r="BQ79" s="143">
        <v>1</v>
      </c>
      <c r="BR79" s="143">
        <v>10</v>
      </c>
      <c r="BS79" s="143">
        <v>8</v>
      </c>
      <c r="BT79" s="143">
        <v>3</v>
      </c>
      <c r="BU79" s="143">
        <v>1</v>
      </c>
      <c r="BV79" s="143">
        <v>1</v>
      </c>
      <c r="BW79" s="143">
        <v>1</v>
      </c>
      <c r="BX79" s="143">
        <v>2</v>
      </c>
      <c r="BY79" s="143">
        <v>5</v>
      </c>
      <c r="BZ79" s="143">
        <v>1</v>
      </c>
      <c r="CA79" s="143">
        <v>3</v>
      </c>
      <c r="CB79" s="143">
        <v>2</v>
      </c>
      <c r="CC79" s="143">
        <v>1</v>
      </c>
      <c r="CD79" s="143">
        <v>11</v>
      </c>
      <c r="CE79" s="143">
        <v>11</v>
      </c>
      <c r="CF79" s="143">
        <v>7</v>
      </c>
      <c r="CG79" s="143">
        <v>4</v>
      </c>
      <c r="CH79" s="143">
        <v>3</v>
      </c>
      <c r="CI79" s="143">
        <v>3</v>
      </c>
      <c r="CJ79" s="143">
        <v>1</v>
      </c>
      <c r="CK79" s="143">
        <v>6</v>
      </c>
      <c r="CL79" s="143">
        <v>1</v>
      </c>
      <c r="CM79" s="143">
        <v>1</v>
      </c>
      <c r="CN79" s="143">
        <v>2</v>
      </c>
      <c r="CO79" s="143">
        <v>3</v>
      </c>
      <c r="CP79" s="143">
        <v>8</v>
      </c>
      <c r="CQ79" s="143">
        <v>7</v>
      </c>
      <c r="CR79" s="143">
        <v>2</v>
      </c>
      <c r="CS79" s="143">
        <v>2</v>
      </c>
      <c r="CT79" s="143">
        <v>1</v>
      </c>
      <c r="CU79" s="143">
        <v>0</v>
      </c>
      <c r="CV79" s="143">
        <v>1</v>
      </c>
      <c r="CW79" s="143">
        <v>8</v>
      </c>
      <c r="CX79" s="143">
        <v>2</v>
      </c>
      <c r="CY79" s="143">
        <v>2</v>
      </c>
      <c r="CZ79" s="143">
        <v>5</v>
      </c>
      <c r="DA79" s="143">
        <v>5</v>
      </c>
      <c r="DB79" s="143">
        <v>6</v>
      </c>
      <c r="DC79" s="143">
        <v>12</v>
      </c>
      <c r="DD79" s="143">
        <v>2</v>
      </c>
      <c r="DE79" s="143">
        <v>4</v>
      </c>
      <c r="DF79" s="143">
        <v>4</v>
      </c>
      <c r="DG79" s="143">
        <v>2</v>
      </c>
      <c r="DH79" s="143">
        <v>5</v>
      </c>
      <c r="DI79" s="143">
        <v>10</v>
      </c>
      <c r="DJ79" s="143">
        <v>2</v>
      </c>
      <c r="DK79" s="143">
        <v>1</v>
      </c>
      <c r="DL79" s="143">
        <v>2</v>
      </c>
      <c r="DM79" s="143">
        <v>5</v>
      </c>
      <c r="DN79" s="143">
        <v>10</v>
      </c>
      <c r="DO79" s="143">
        <v>10</v>
      </c>
      <c r="DP79" s="143">
        <v>7</v>
      </c>
      <c r="DQ79" s="143">
        <v>1</v>
      </c>
      <c r="DR79" s="143">
        <v>8</v>
      </c>
      <c r="DS79" s="143">
        <v>1</v>
      </c>
      <c r="DT79" s="143">
        <v>3</v>
      </c>
      <c r="DU79" s="143">
        <v>3</v>
      </c>
      <c r="DV79" s="143">
        <v>5</v>
      </c>
      <c r="DW79" s="143">
        <v>2</v>
      </c>
      <c r="DX79" s="143">
        <v>0</v>
      </c>
      <c r="DY79" s="143">
        <v>2</v>
      </c>
      <c r="DZ79" s="143">
        <v>4</v>
      </c>
      <c r="EA79" s="143">
        <v>10</v>
      </c>
      <c r="EB79" s="143">
        <v>4</v>
      </c>
      <c r="EC79" s="143">
        <v>2</v>
      </c>
      <c r="ED79" s="143">
        <v>3</v>
      </c>
      <c r="EE79" s="143">
        <v>4</v>
      </c>
      <c r="EF79" s="143">
        <v>1</v>
      </c>
      <c r="EG79" s="143">
        <v>6</v>
      </c>
      <c r="EH79" s="143">
        <v>1</v>
      </c>
      <c r="EI79" s="143">
        <v>1</v>
      </c>
      <c r="EJ79" s="143">
        <v>1</v>
      </c>
      <c r="EK79" s="143">
        <v>3</v>
      </c>
      <c r="EL79" s="143">
        <v>4</v>
      </c>
      <c r="EM79" s="143">
        <v>13</v>
      </c>
      <c r="EN79" s="143">
        <v>5</v>
      </c>
      <c r="EO79" s="143">
        <v>11</v>
      </c>
      <c r="EP79" s="143">
        <v>2</v>
      </c>
      <c r="EQ79" s="143">
        <v>0</v>
      </c>
      <c r="ER79" s="143">
        <v>1</v>
      </c>
      <c r="ES79" s="143">
        <v>4</v>
      </c>
      <c r="ET79" s="143">
        <v>5</v>
      </c>
      <c r="EU79" s="143">
        <v>4</v>
      </c>
      <c r="EV79" s="143">
        <v>5</v>
      </c>
      <c r="EW79" s="143">
        <v>0</v>
      </c>
      <c r="EX79" s="143">
        <v>4</v>
      </c>
      <c r="EY79" s="143">
        <v>2</v>
      </c>
      <c r="EZ79" s="143">
        <v>4</v>
      </c>
      <c r="FA79" s="143">
        <v>4</v>
      </c>
      <c r="FB79" s="143">
        <v>5</v>
      </c>
      <c r="FC79" s="143">
        <v>1</v>
      </c>
      <c r="FD79" s="143">
        <v>1</v>
      </c>
      <c r="FE79" s="143">
        <v>4</v>
      </c>
      <c r="FF79" s="143">
        <v>1</v>
      </c>
      <c r="FG79" s="143">
        <v>2</v>
      </c>
      <c r="FH79" s="143">
        <v>1</v>
      </c>
      <c r="FI79" s="143">
        <v>0</v>
      </c>
      <c r="FJ79" s="143">
        <v>4</v>
      </c>
      <c r="FK79" s="143">
        <v>4</v>
      </c>
      <c r="FL79" s="143">
        <v>6</v>
      </c>
      <c r="FM79" s="143">
        <v>2</v>
      </c>
      <c r="FN79" s="143">
        <v>3</v>
      </c>
      <c r="FO79" s="143">
        <v>2</v>
      </c>
      <c r="FP79" s="143">
        <v>1</v>
      </c>
      <c r="FQ79" s="143">
        <v>0</v>
      </c>
      <c r="FR79" s="143">
        <v>2</v>
      </c>
      <c r="FS79" s="143">
        <v>1</v>
      </c>
      <c r="FT79" s="143">
        <v>0</v>
      </c>
      <c r="FU79" s="143">
        <v>4</v>
      </c>
      <c r="FV79" s="143">
        <v>3</v>
      </c>
      <c r="FW79" s="143">
        <v>3</v>
      </c>
      <c r="FX79" s="143">
        <v>6</v>
      </c>
      <c r="FY79" s="143">
        <v>5</v>
      </c>
      <c r="FZ79" s="143">
        <v>2</v>
      </c>
      <c r="GA79" s="143">
        <v>2</v>
      </c>
      <c r="GB79" s="143">
        <v>3</v>
      </c>
      <c r="GC79" s="143">
        <v>9</v>
      </c>
      <c r="GD79" s="143">
        <v>4</v>
      </c>
      <c r="GE79" s="143">
        <v>3</v>
      </c>
      <c r="GF79" s="143">
        <v>6</v>
      </c>
      <c r="GG79" s="143">
        <v>5</v>
      </c>
      <c r="GH79" s="143">
        <v>6</v>
      </c>
      <c r="GI79" s="143">
        <v>6</v>
      </c>
      <c r="GJ79" s="143">
        <v>6</v>
      </c>
      <c r="GK79" s="143">
        <v>2</v>
      </c>
      <c r="GL79" s="143">
        <v>5</v>
      </c>
      <c r="GM79" s="143">
        <v>5</v>
      </c>
      <c r="GN79" s="143">
        <v>4</v>
      </c>
      <c r="GO79" s="143">
        <v>11</v>
      </c>
      <c r="GP79" s="143">
        <v>4</v>
      </c>
      <c r="GQ79" s="143">
        <v>2</v>
      </c>
      <c r="GR79" s="143">
        <v>5</v>
      </c>
      <c r="GS79" s="143">
        <f>SUM(B79:GR79)/198</f>
        <v>4.7727272727272725</v>
      </c>
      <c r="GT79" s="152"/>
      <c r="GU79" s="12" t="s">
        <v>34</v>
      </c>
      <c r="GV79" s="145" t="s">
        <v>30</v>
      </c>
      <c r="GW79" s="145">
        <f t="shared" ref="GW79:IB79" si="125">(C79-B79)/B79</f>
        <v>-0.25</v>
      </c>
      <c r="GX79" s="145">
        <f t="shared" si="125"/>
        <v>-0.16666666666666666</v>
      </c>
      <c r="GY79" s="145">
        <f t="shared" si="125"/>
        <v>2</v>
      </c>
      <c r="GZ79" s="145">
        <f t="shared" si="125"/>
        <v>-0.8</v>
      </c>
      <c r="HA79" s="145">
        <f t="shared" si="125"/>
        <v>1.6666666666666667</v>
      </c>
      <c r="HB79" s="145">
        <f t="shared" si="125"/>
        <v>0.25</v>
      </c>
      <c r="HC79" s="145">
        <f t="shared" si="125"/>
        <v>-0.2</v>
      </c>
      <c r="HD79" s="145">
        <f t="shared" si="125"/>
        <v>0.5</v>
      </c>
      <c r="HE79" s="145">
        <f t="shared" si="125"/>
        <v>1.0833333333333333</v>
      </c>
      <c r="HF79" s="145">
        <f t="shared" si="125"/>
        <v>-0.48</v>
      </c>
      <c r="HG79" s="145">
        <f t="shared" si="125"/>
        <v>-0.15384615384615385</v>
      </c>
      <c r="HH79" s="145">
        <f t="shared" si="125"/>
        <v>1.1818181818181819</v>
      </c>
      <c r="HI79" s="145">
        <f t="shared" si="125"/>
        <v>-0.70833333333333337</v>
      </c>
      <c r="HJ79" s="145">
        <f t="shared" si="125"/>
        <v>0</v>
      </c>
      <c r="HK79" s="145">
        <f t="shared" si="125"/>
        <v>1.5714285714285714</v>
      </c>
      <c r="HL79" s="145">
        <f t="shared" si="125"/>
        <v>-0.66666666666666663</v>
      </c>
      <c r="HM79" s="145">
        <f t="shared" si="125"/>
        <v>0.33333333333333331</v>
      </c>
      <c r="HN79" s="145">
        <f t="shared" si="125"/>
        <v>0.5</v>
      </c>
      <c r="HO79" s="145">
        <f t="shared" si="125"/>
        <v>0</v>
      </c>
      <c r="HP79" s="145">
        <f t="shared" si="125"/>
        <v>0.16666666666666666</v>
      </c>
      <c r="HQ79" s="145">
        <f t="shared" si="125"/>
        <v>0.7857142857142857</v>
      </c>
      <c r="HR79" s="145">
        <f t="shared" si="125"/>
        <v>-0.28000000000000003</v>
      </c>
      <c r="HS79" s="145">
        <f t="shared" si="125"/>
        <v>-0.61111111111111116</v>
      </c>
      <c r="HT79" s="145">
        <f t="shared" si="125"/>
        <v>0.2857142857142857</v>
      </c>
      <c r="HU79" s="145">
        <f t="shared" si="125"/>
        <v>-0.66666666666666663</v>
      </c>
      <c r="HV79" s="145">
        <f t="shared" si="125"/>
        <v>1.6666666666666667</v>
      </c>
      <c r="HW79" s="145">
        <f t="shared" si="125"/>
        <v>-0.125</v>
      </c>
      <c r="HX79" s="145">
        <f t="shared" si="125"/>
        <v>-0.42857142857142855</v>
      </c>
      <c r="HY79" s="145">
        <f t="shared" si="125"/>
        <v>0.5</v>
      </c>
      <c r="HZ79" s="145">
        <f t="shared" si="125"/>
        <v>-0.33333333333333331</v>
      </c>
      <c r="IA79" s="145">
        <f t="shared" si="125"/>
        <v>0.25</v>
      </c>
      <c r="IB79" s="145">
        <f t="shared" si="125"/>
        <v>0.6</v>
      </c>
      <c r="IC79" s="145">
        <f t="shared" ref="IC79:JH79" si="126">(AI79-AH79)/AH79</f>
        <v>0.625</v>
      </c>
      <c r="ID79" s="145">
        <f t="shared" si="126"/>
        <v>-0.53846153846153844</v>
      </c>
      <c r="IE79" s="145">
        <f t="shared" si="126"/>
        <v>-0.66666666666666663</v>
      </c>
      <c r="IF79" s="145">
        <f t="shared" si="126"/>
        <v>0.5</v>
      </c>
      <c r="IG79" s="145">
        <f t="shared" si="126"/>
        <v>1.3333333333333333</v>
      </c>
      <c r="IH79" s="145">
        <f t="shared" si="126"/>
        <v>-0.7142857142857143</v>
      </c>
      <c r="II79" s="145">
        <f t="shared" si="126"/>
        <v>0</v>
      </c>
      <c r="IJ79" s="145">
        <f t="shared" si="126"/>
        <v>-1</v>
      </c>
      <c r="IK79" s="145" t="e">
        <f t="shared" si="126"/>
        <v>#DIV/0!</v>
      </c>
      <c r="IL79" s="145">
        <f t="shared" si="126"/>
        <v>-1</v>
      </c>
      <c r="IM79" s="145" t="e">
        <f t="shared" si="126"/>
        <v>#DIV/0!</v>
      </c>
      <c r="IN79" s="145">
        <f t="shared" si="126"/>
        <v>2</v>
      </c>
      <c r="IO79" s="145">
        <f t="shared" si="126"/>
        <v>-0.5</v>
      </c>
      <c r="IP79" s="145">
        <f t="shared" si="126"/>
        <v>-0.33333333333333331</v>
      </c>
      <c r="IQ79" s="145">
        <f t="shared" si="126"/>
        <v>-0.25</v>
      </c>
      <c r="IR79" s="145">
        <f t="shared" si="126"/>
        <v>-0.33333333333333331</v>
      </c>
      <c r="IS79" s="145">
        <f t="shared" si="126"/>
        <v>-0.5</v>
      </c>
      <c r="IT79" s="145">
        <f t="shared" si="126"/>
        <v>1</v>
      </c>
      <c r="IU79" s="145">
        <f t="shared" si="126"/>
        <v>0</v>
      </c>
      <c r="IV79" s="145">
        <f t="shared" si="126"/>
        <v>0.5</v>
      </c>
      <c r="IW79" s="145">
        <f t="shared" si="126"/>
        <v>-0.33333333333333331</v>
      </c>
      <c r="IX79" s="145">
        <f t="shared" si="126"/>
        <v>-1</v>
      </c>
      <c r="IY79" s="145" t="e">
        <f t="shared" si="126"/>
        <v>#DIV/0!</v>
      </c>
      <c r="IZ79" s="145">
        <f t="shared" si="126"/>
        <v>4</v>
      </c>
      <c r="JA79" s="145">
        <f t="shared" si="126"/>
        <v>-0.6</v>
      </c>
      <c r="JB79" s="145">
        <f t="shared" si="126"/>
        <v>2</v>
      </c>
      <c r="JC79" s="145">
        <f t="shared" si="126"/>
        <v>-0.66666666666666663</v>
      </c>
      <c r="JD79" s="145">
        <f t="shared" si="126"/>
        <v>1</v>
      </c>
      <c r="JE79" s="145">
        <f t="shared" si="126"/>
        <v>-0.5</v>
      </c>
      <c r="JF79" s="145">
        <f t="shared" si="126"/>
        <v>-1</v>
      </c>
      <c r="JG79" s="145" t="e">
        <f t="shared" si="126"/>
        <v>#DIV/0!</v>
      </c>
      <c r="JH79" s="145">
        <f t="shared" si="126"/>
        <v>-1</v>
      </c>
      <c r="JI79" s="145" t="e">
        <f t="shared" ref="JI79:KN79" si="127">(BO79-BN79)/BN79</f>
        <v>#DIV/0!</v>
      </c>
      <c r="JJ79" s="145">
        <f t="shared" si="127"/>
        <v>-0.66666666666666663</v>
      </c>
      <c r="JK79" s="145">
        <f t="shared" si="127"/>
        <v>0</v>
      </c>
      <c r="JL79" s="145">
        <f t="shared" si="127"/>
        <v>9</v>
      </c>
      <c r="JM79" s="145">
        <f t="shared" si="127"/>
        <v>-0.2</v>
      </c>
      <c r="JN79" s="145">
        <f t="shared" si="127"/>
        <v>-0.625</v>
      </c>
      <c r="JO79" s="145">
        <f t="shared" si="127"/>
        <v>-0.66666666666666663</v>
      </c>
      <c r="JP79" s="145">
        <f t="shared" si="127"/>
        <v>0</v>
      </c>
      <c r="JQ79" s="145">
        <f t="shared" si="127"/>
        <v>0</v>
      </c>
      <c r="JR79" s="145">
        <f t="shared" si="127"/>
        <v>1</v>
      </c>
      <c r="JS79" s="145">
        <f t="shared" si="127"/>
        <v>1.5</v>
      </c>
      <c r="JT79" s="145">
        <f t="shared" si="127"/>
        <v>-0.8</v>
      </c>
      <c r="JU79" s="145">
        <f t="shared" si="127"/>
        <v>2</v>
      </c>
      <c r="JV79" s="145">
        <f t="shared" si="127"/>
        <v>-0.33333333333333331</v>
      </c>
      <c r="JW79" s="145">
        <f t="shared" si="127"/>
        <v>-0.5</v>
      </c>
      <c r="JX79" s="145">
        <f t="shared" si="127"/>
        <v>10</v>
      </c>
      <c r="JY79" s="145">
        <f t="shared" si="127"/>
        <v>0</v>
      </c>
      <c r="JZ79" s="145">
        <f t="shared" si="127"/>
        <v>-0.36363636363636365</v>
      </c>
      <c r="KA79" s="145">
        <f t="shared" si="127"/>
        <v>-0.42857142857142855</v>
      </c>
      <c r="KB79" s="145">
        <f t="shared" si="127"/>
        <v>-0.25</v>
      </c>
      <c r="KC79" s="145">
        <f t="shared" si="127"/>
        <v>0</v>
      </c>
      <c r="KD79" s="145">
        <f t="shared" si="127"/>
        <v>-0.66666666666666663</v>
      </c>
      <c r="KE79" s="145">
        <f t="shared" si="127"/>
        <v>5</v>
      </c>
      <c r="KF79" s="145">
        <f t="shared" si="127"/>
        <v>-0.83333333333333337</v>
      </c>
      <c r="KG79" s="145">
        <f t="shared" si="127"/>
        <v>0</v>
      </c>
      <c r="KH79" s="145">
        <f t="shared" si="127"/>
        <v>1</v>
      </c>
      <c r="KI79" s="145">
        <f t="shared" si="127"/>
        <v>0.5</v>
      </c>
      <c r="KJ79" s="145">
        <f t="shared" si="127"/>
        <v>1.6666666666666667</v>
      </c>
      <c r="KK79" s="145">
        <f t="shared" si="127"/>
        <v>-0.125</v>
      </c>
      <c r="KL79" s="145">
        <f t="shared" si="127"/>
        <v>-0.7142857142857143</v>
      </c>
      <c r="KM79" s="145">
        <f t="shared" si="127"/>
        <v>0</v>
      </c>
      <c r="KN79" s="145">
        <f t="shared" si="127"/>
        <v>-0.5</v>
      </c>
      <c r="KO79" s="145">
        <f t="shared" ref="KO79" si="128">(CU79-CT79)/CT79</f>
        <v>-1</v>
      </c>
      <c r="KP79" s="27" t="s">
        <v>30</v>
      </c>
      <c r="KQ79" s="27" t="s">
        <v>30</v>
      </c>
      <c r="KR79" s="27" t="s">
        <v>30</v>
      </c>
      <c r="KS79" s="27" t="s">
        <v>30</v>
      </c>
      <c r="KT79" s="145">
        <f t="shared" ref="KT79:LD79" si="129">(CZ79-CY79)/CY79</f>
        <v>1.5</v>
      </c>
      <c r="KU79" s="145">
        <f t="shared" si="129"/>
        <v>0</v>
      </c>
      <c r="KV79" s="145">
        <f t="shared" si="129"/>
        <v>0.2</v>
      </c>
      <c r="KW79" s="145">
        <f t="shared" si="129"/>
        <v>1</v>
      </c>
      <c r="KX79" s="145">
        <f t="shared" si="129"/>
        <v>-0.83333333333333337</v>
      </c>
      <c r="KY79" s="145">
        <f t="shared" si="129"/>
        <v>1</v>
      </c>
      <c r="KZ79" s="145">
        <f t="shared" si="129"/>
        <v>0</v>
      </c>
      <c r="LA79" s="145">
        <f t="shared" si="129"/>
        <v>-0.5</v>
      </c>
      <c r="LB79" s="145">
        <f t="shared" si="129"/>
        <v>1.5</v>
      </c>
      <c r="LC79" s="145">
        <f t="shared" si="129"/>
        <v>1</v>
      </c>
      <c r="LD79" s="145">
        <f t="shared" si="129"/>
        <v>-0.8</v>
      </c>
      <c r="LE79" s="145">
        <f t="shared" si="109"/>
        <v>-0.5</v>
      </c>
      <c r="LF79" s="145">
        <f t="shared" si="109"/>
        <v>1</v>
      </c>
      <c r="LG79" s="145">
        <f t="shared" si="109"/>
        <v>1.5</v>
      </c>
      <c r="LH79" s="145">
        <f t="shared" si="109"/>
        <v>1</v>
      </c>
      <c r="LI79" s="145">
        <f t="shared" si="109"/>
        <v>0</v>
      </c>
      <c r="LJ79" s="145">
        <f t="shared" si="109"/>
        <v>-0.3</v>
      </c>
      <c r="LK79" s="145">
        <f t="shared" si="109"/>
        <v>-0.8571428571428571</v>
      </c>
      <c r="LL79" s="145">
        <f t="shared" si="109"/>
        <v>7</v>
      </c>
      <c r="LM79" s="145">
        <f t="shared" si="109"/>
        <v>-0.875</v>
      </c>
      <c r="LN79" s="145">
        <f t="shared" si="109"/>
        <v>2</v>
      </c>
      <c r="LO79" s="145">
        <f t="shared" si="110"/>
        <v>0</v>
      </c>
      <c r="LP79" s="145">
        <f t="shared" si="110"/>
        <v>0.66666666666666663</v>
      </c>
      <c r="LQ79" s="145">
        <f t="shared" si="110"/>
        <v>-0.6</v>
      </c>
      <c r="LR79" s="145">
        <f t="shared" si="110"/>
        <v>-1</v>
      </c>
      <c r="LS79" s="145" t="e">
        <f t="shared" si="110"/>
        <v>#DIV/0!</v>
      </c>
      <c r="LT79" s="145">
        <f t="shared" si="110"/>
        <v>1</v>
      </c>
      <c r="LU79" s="145">
        <f t="shared" si="110"/>
        <v>1.5</v>
      </c>
      <c r="LV79" s="145">
        <f t="shared" si="110"/>
        <v>-0.6</v>
      </c>
      <c r="LW79" s="145">
        <f t="shared" si="110"/>
        <v>-0.5</v>
      </c>
      <c r="LX79" s="145">
        <f t="shared" si="110"/>
        <v>0.5</v>
      </c>
      <c r="LY79" s="145">
        <f t="shared" si="111"/>
        <v>0.33333333333333331</v>
      </c>
      <c r="LZ79" s="145">
        <f t="shared" si="111"/>
        <v>-0.75</v>
      </c>
      <c r="MA79" s="145">
        <f t="shared" si="111"/>
        <v>5</v>
      </c>
      <c r="MB79" s="145">
        <f t="shared" si="111"/>
        <v>-0.83333333333333337</v>
      </c>
      <c r="MC79" s="145">
        <f t="shared" si="111"/>
        <v>0</v>
      </c>
      <c r="MD79" s="145">
        <f t="shared" si="111"/>
        <v>0</v>
      </c>
      <c r="ME79" s="145">
        <f t="shared" si="111"/>
        <v>2</v>
      </c>
      <c r="MF79" s="145">
        <f t="shared" si="111"/>
        <v>0.33333333333333331</v>
      </c>
      <c r="MG79" s="145">
        <f t="shared" si="111"/>
        <v>2.25</v>
      </c>
      <c r="MH79" s="145">
        <f t="shared" si="111"/>
        <v>-0.61538461538461542</v>
      </c>
      <c r="MI79" s="145">
        <f t="shared" si="112"/>
        <v>1.2</v>
      </c>
      <c r="MJ79" s="145">
        <f t="shared" si="112"/>
        <v>-0.81818181818181823</v>
      </c>
      <c r="MK79" s="145">
        <f t="shared" si="112"/>
        <v>-1</v>
      </c>
      <c r="ML79" s="145" t="e">
        <f t="shared" si="112"/>
        <v>#DIV/0!</v>
      </c>
      <c r="MM79" s="145">
        <f t="shared" si="112"/>
        <v>3</v>
      </c>
      <c r="MN79" s="145">
        <f t="shared" si="112"/>
        <v>0.25</v>
      </c>
      <c r="MO79" s="145">
        <f t="shared" si="112"/>
        <v>-0.2</v>
      </c>
      <c r="MP79" s="145">
        <f t="shared" si="112"/>
        <v>0.25</v>
      </c>
      <c r="MQ79" s="145">
        <f t="shared" si="112"/>
        <v>-1</v>
      </c>
      <c r="MR79" s="145" t="e">
        <f t="shared" si="112"/>
        <v>#DIV/0!</v>
      </c>
      <c r="MS79" s="145">
        <f>(EZ79-EY79)/EY79</f>
        <v>1</v>
      </c>
      <c r="MT79" s="145">
        <f t="shared" si="105"/>
        <v>0.5</v>
      </c>
      <c r="MU79" s="145">
        <f t="shared" si="105"/>
        <v>0</v>
      </c>
      <c r="MV79" s="145">
        <f t="shared" si="105"/>
        <v>0.2</v>
      </c>
      <c r="MW79" s="145">
        <f t="shared" si="105"/>
        <v>-4</v>
      </c>
      <c r="MX79" s="145">
        <f t="shared" si="105"/>
        <v>0</v>
      </c>
      <c r="MY79" s="145">
        <f t="shared" si="105"/>
        <v>0.75</v>
      </c>
      <c r="MZ79" s="145">
        <f t="shared" si="105"/>
        <v>-3</v>
      </c>
      <c r="NA79" s="145">
        <f t="shared" si="105"/>
        <v>0.5</v>
      </c>
      <c r="NB79" s="145">
        <f t="shared" si="105"/>
        <v>-1</v>
      </c>
      <c r="NC79" s="145" t="e">
        <f t="shared" si="105"/>
        <v>#DIV/0!</v>
      </c>
      <c r="ND79" s="145">
        <f t="shared" si="106"/>
        <v>1</v>
      </c>
      <c r="NE79" s="145">
        <f t="shared" si="106"/>
        <v>0</v>
      </c>
      <c r="NF79" s="145">
        <f t="shared" si="106"/>
        <v>0.33333333333333331</v>
      </c>
      <c r="NG79" s="145">
        <f t="shared" si="106"/>
        <v>-2</v>
      </c>
      <c r="NH79" s="145">
        <f t="shared" si="106"/>
        <v>0.33333333333333331</v>
      </c>
      <c r="NI79" s="145">
        <f t="shared" si="106"/>
        <v>-0.5</v>
      </c>
      <c r="NJ79" s="145">
        <f t="shared" si="106"/>
        <v>-1</v>
      </c>
      <c r="NK79" s="145" t="e">
        <f t="shared" si="106"/>
        <v>#DIV/0!</v>
      </c>
      <c r="NL79" s="145">
        <f t="shared" si="106"/>
        <v>1</v>
      </c>
      <c r="NM79" s="145">
        <f t="shared" si="106"/>
        <v>-1</v>
      </c>
      <c r="NN79" s="145" t="e">
        <f t="shared" si="107"/>
        <v>#DIV/0!</v>
      </c>
      <c r="NO79" s="145">
        <f t="shared" si="107"/>
        <v>1</v>
      </c>
      <c r="NP79" s="145">
        <f t="shared" si="107"/>
        <v>-0.33333333333333331</v>
      </c>
      <c r="NQ79" s="145">
        <f t="shared" si="107"/>
        <v>0</v>
      </c>
      <c r="NR79" s="145">
        <f t="shared" si="107"/>
        <v>0.5</v>
      </c>
      <c r="NS79" s="145">
        <f t="shared" si="107"/>
        <v>-0.2</v>
      </c>
      <c r="NT79" s="145">
        <f t="shared" si="107"/>
        <v>-1.5</v>
      </c>
      <c r="NU79" s="145">
        <f t="shared" si="107"/>
        <v>0</v>
      </c>
      <c r="NV79" s="145">
        <f t="shared" si="107"/>
        <v>0.33333333333333331</v>
      </c>
      <c r="NW79" s="145">
        <f t="shared" si="107"/>
        <v>0.66666666666666663</v>
      </c>
      <c r="NX79" s="145">
        <f t="shared" si="108"/>
        <v>-1.25</v>
      </c>
      <c r="NY79" s="145">
        <f t="shared" si="108"/>
        <v>-0.33333333333333331</v>
      </c>
      <c r="NZ79" s="145">
        <f t="shared" si="108"/>
        <v>0.5</v>
      </c>
      <c r="OA79" s="145">
        <f t="shared" si="108"/>
        <v>-0.2</v>
      </c>
      <c r="OB79" s="145">
        <f t="shared" si="108"/>
        <v>0.16666666666666666</v>
      </c>
      <c r="OC79" s="145">
        <f t="shared" si="108"/>
        <v>0</v>
      </c>
      <c r="OD79" s="145">
        <f t="shared" si="108"/>
        <v>0</v>
      </c>
      <c r="OE79" s="145">
        <f t="shared" si="108"/>
        <v>-2</v>
      </c>
      <c r="OF79" s="145">
        <f t="shared" si="108"/>
        <v>0.6</v>
      </c>
      <c r="OG79" s="145">
        <f t="shared" si="108"/>
        <v>0</v>
      </c>
      <c r="OH79" s="145">
        <f t="shared" si="108"/>
        <v>-0.25</v>
      </c>
      <c r="OI79" s="145">
        <f t="shared" si="108"/>
        <v>0.63636363636363635</v>
      </c>
      <c r="OJ79" s="145">
        <f t="shared" si="108"/>
        <v>-1.75</v>
      </c>
      <c r="OK79" s="145">
        <f t="shared" si="108"/>
        <v>-1</v>
      </c>
      <c r="OL79" s="145">
        <f t="shared" si="108"/>
        <v>0.6</v>
      </c>
    </row>
    <row r="80" spans="1:402" x14ac:dyDescent="0.35">
      <c r="B80" s="23"/>
      <c r="C80" s="23"/>
      <c r="D80" s="23"/>
      <c r="E80" s="23"/>
      <c r="F80" s="23"/>
      <c r="G80" s="24"/>
      <c r="H80" s="24"/>
      <c r="I80" s="24"/>
      <c r="J80" s="24"/>
      <c r="GS80" s="24"/>
      <c r="GV80" s="25"/>
      <c r="GW80" s="25"/>
      <c r="GX80" s="25"/>
      <c r="GY80" s="25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</row>
    <row r="82" spans="1:402" ht="16" thickBot="1" x14ac:dyDescent="0.4">
      <c r="A82" s="12" t="s">
        <v>39</v>
      </c>
      <c r="GU82" s="12" t="s">
        <v>36</v>
      </c>
    </row>
    <row r="83" spans="1:402" x14ac:dyDescent="0.35">
      <c r="B83" s="13">
        <v>2007</v>
      </c>
      <c r="C83" s="13"/>
      <c r="D83" s="13"/>
      <c r="E83" s="14"/>
      <c r="F83" s="15">
        <v>2008</v>
      </c>
      <c r="G83" s="16"/>
      <c r="H83" s="17"/>
      <c r="I83" s="16"/>
      <c r="J83" s="16"/>
      <c r="K83" s="16"/>
      <c r="L83" s="18"/>
      <c r="M83" s="18"/>
      <c r="N83" s="18"/>
      <c r="O83" s="18"/>
      <c r="P83" s="18"/>
      <c r="Q83" s="18"/>
      <c r="R83" s="19">
        <v>2009</v>
      </c>
      <c r="S83" s="19"/>
      <c r="T83" s="19"/>
      <c r="U83" s="19"/>
      <c r="V83" s="16"/>
      <c r="W83" s="16"/>
      <c r="X83" s="16"/>
      <c r="Y83" s="16"/>
      <c r="Z83" s="16"/>
      <c r="AA83" s="16"/>
      <c r="AB83" s="16"/>
      <c r="AC83" s="16"/>
      <c r="AD83" s="19">
        <v>2010</v>
      </c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>
        <v>2011</v>
      </c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9">
        <v>2012</v>
      </c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9">
        <v>2013</v>
      </c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>
        <v>2014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>
        <v>2015</v>
      </c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9">
        <v>2016</v>
      </c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9">
        <v>2017</v>
      </c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>
        <v>2018</v>
      </c>
      <c r="DW83" s="19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9">
        <v>2019</v>
      </c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9">
        <v>2020</v>
      </c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9">
        <v>2021</v>
      </c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>
        <v>2022</v>
      </c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>
        <v>2023</v>
      </c>
      <c r="GE83" s="19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9">
        <v>2024</v>
      </c>
      <c r="GQ83" s="19"/>
      <c r="GR83" s="183"/>
      <c r="GS83" s="43"/>
      <c r="GV83" s="13">
        <v>2007</v>
      </c>
      <c r="GW83" s="13"/>
      <c r="GX83" s="13"/>
      <c r="GY83" s="14"/>
      <c r="GZ83" s="15">
        <v>2008</v>
      </c>
      <c r="HA83" s="16"/>
      <c r="HB83" s="17"/>
      <c r="HC83" s="16"/>
      <c r="HD83" s="16"/>
      <c r="HE83" s="16"/>
      <c r="HF83" s="18"/>
      <c r="HG83" s="18"/>
      <c r="HH83" s="18"/>
      <c r="HI83" s="18"/>
      <c r="HJ83" s="18"/>
      <c r="HK83" s="18"/>
      <c r="HL83" s="19">
        <v>2009</v>
      </c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>
        <v>2010</v>
      </c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>
        <v>2011</v>
      </c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>
        <v>2012</v>
      </c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>
        <v>2013</v>
      </c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>
        <v>2014</v>
      </c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>
        <v>2015</v>
      </c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>
        <v>2016</v>
      </c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>
        <v>2017</v>
      </c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>
        <v>2018</v>
      </c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>
        <v>2019</v>
      </c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>
        <v>2020</v>
      </c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>
        <v>2021</v>
      </c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>
        <v>2022</v>
      </c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>
        <v>2023</v>
      </c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>
        <v>2024</v>
      </c>
      <c r="OK83" s="19"/>
      <c r="OL83" s="19"/>
    </row>
    <row r="84" spans="1:402" s="2" customFormat="1" x14ac:dyDescent="0.35">
      <c r="A84" s="26"/>
      <c r="B84" s="20" t="s">
        <v>3</v>
      </c>
      <c r="C84" s="20" t="s">
        <v>4</v>
      </c>
      <c r="D84" s="20" t="s">
        <v>5</v>
      </c>
      <c r="E84" s="20" t="s">
        <v>6</v>
      </c>
      <c r="F84" s="20" t="s">
        <v>7</v>
      </c>
      <c r="G84" s="20" t="s">
        <v>8</v>
      </c>
      <c r="H84" s="20" t="s">
        <v>9</v>
      </c>
      <c r="I84" s="20" t="s">
        <v>10</v>
      </c>
      <c r="J84" s="20" t="s">
        <v>11</v>
      </c>
      <c r="K84" s="20" t="s">
        <v>12</v>
      </c>
      <c r="L84" s="20" t="s">
        <v>13</v>
      </c>
      <c r="M84" s="20" t="s">
        <v>14</v>
      </c>
      <c r="N84" s="20" t="s">
        <v>3</v>
      </c>
      <c r="O84" s="20" t="s">
        <v>4</v>
      </c>
      <c r="P84" s="20" t="s">
        <v>5</v>
      </c>
      <c r="Q84" s="20" t="s">
        <v>15</v>
      </c>
      <c r="R84" s="22" t="s">
        <v>7</v>
      </c>
      <c r="S84" s="22" t="s">
        <v>8</v>
      </c>
      <c r="T84" s="22" t="s">
        <v>9</v>
      </c>
      <c r="U84" s="22" t="s">
        <v>10</v>
      </c>
      <c r="V84" s="22" t="s">
        <v>11</v>
      </c>
      <c r="W84" s="22" t="s">
        <v>12</v>
      </c>
      <c r="X84" s="22" t="s">
        <v>13</v>
      </c>
      <c r="Y84" s="22" t="s">
        <v>14</v>
      </c>
      <c r="Z84" s="22" t="s">
        <v>16</v>
      </c>
      <c r="AA84" s="22" t="s">
        <v>4</v>
      </c>
      <c r="AB84" s="22" t="s">
        <v>5</v>
      </c>
      <c r="AC84" s="22" t="s">
        <v>6</v>
      </c>
      <c r="AD84" s="22" t="s">
        <v>17</v>
      </c>
      <c r="AE84" s="22" t="s">
        <v>8</v>
      </c>
      <c r="AF84" s="22" t="s">
        <v>18</v>
      </c>
      <c r="AG84" s="22" t="s">
        <v>10</v>
      </c>
      <c r="AH84" s="22" t="s">
        <v>11</v>
      </c>
      <c r="AI84" s="22" t="s">
        <v>12</v>
      </c>
      <c r="AJ84" s="22" t="s">
        <v>13</v>
      </c>
      <c r="AK84" s="22" t="s">
        <v>14</v>
      </c>
      <c r="AL84" s="22" t="s">
        <v>16</v>
      </c>
      <c r="AM84" s="22" t="s">
        <v>19</v>
      </c>
      <c r="AN84" s="22" t="s">
        <v>5</v>
      </c>
      <c r="AO84" s="22" t="s">
        <v>6</v>
      </c>
      <c r="AP84" s="22" t="s">
        <v>7</v>
      </c>
      <c r="AQ84" s="22" t="s">
        <v>8</v>
      </c>
      <c r="AR84" s="22" t="s">
        <v>9</v>
      </c>
      <c r="AS84" s="22" t="s">
        <v>10</v>
      </c>
      <c r="AT84" s="22" t="s">
        <v>11</v>
      </c>
      <c r="AU84" s="22" t="s">
        <v>12</v>
      </c>
      <c r="AV84" s="22" t="s">
        <v>13</v>
      </c>
      <c r="AW84" s="22" t="s">
        <v>14</v>
      </c>
      <c r="AX84" s="22" t="s">
        <v>3</v>
      </c>
      <c r="AY84" s="22" t="s">
        <v>4</v>
      </c>
      <c r="AZ84" s="22" t="s">
        <v>5</v>
      </c>
      <c r="BA84" s="22" t="s">
        <v>15</v>
      </c>
      <c r="BB84" s="22" t="s">
        <v>7</v>
      </c>
      <c r="BC84" s="22" t="s">
        <v>8</v>
      </c>
      <c r="BD84" s="22" t="s">
        <v>18</v>
      </c>
      <c r="BE84" s="22" t="s">
        <v>10</v>
      </c>
      <c r="BF84" s="22" t="s">
        <v>11</v>
      </c>
      <c r="BG84" s="22" t="s">
        <v>12</v>
      </c>
      <c r="BH84" s="22" t="s">
        <v>20</v>
      </c>
      <c r="BI84" s="22" t="s">
        <v>21</v>
      </c>
      <c r="BJ84" s="22" t="s">
        <v>16</v>
      </c>
      <c r="BK84" s="22" t="s">
        <v>19</v>
      </c>
      <c r="BL84" s="22" t="s">
        <v>5</v>
      </c>
      <c r="BM84" s="22" t="s">
        <v>15</v>
      </c>
      <c r="BN84" s="22" t="s">
        <v>7</v>
      </c>
      <c r="BO84" s="22" t="s">
        <v>8</v>
      </c>
      <c r="BP84" s="22" t="s">
        <v>9</v>
      </c>
      <c r="BQ84" s="22" t="s">
        <v>10</v>
      </c>
      <c r="BR84" s="22" t="s">
        <v>11</v>
      </c>
      <c r="BS84" s="22" t="s">
        <v>12</v>
      </c>
      <c r="BT84" s="22" t="s">
        <v>20</v>
      </c>
      <c r="BU84" s="22" t="s">
        <v>21</v>
      </c>
      <c r="BV84" s="22" t="s">
        <v>22</v>
      </c>
      <c r="BW84" s="22" t="s">
        <v>4</v>
      </c>
      <c r="BX84" s="22" t="s">
        <v>5</v>
      </c>
      <c r="BY84" s="22" t="s">
        <v>6</v>
      </c>
      <c r="BZ84" s="22" t="s">
        <v>17</v>
      </c>
      <c r="CA84" s="22" t="s">
        <v>23</v>
      </c>
      <c r="CB84" s="22" t="s">
        <v>18</v>
      </c>
      <c r="CC84" s="22" t="s">
        <v>24</v>
      </c>
      <c r="CD84" s="22" t="s">
        <v>11</v>
      </c>
      <c r="CE84" s="22" t="s">
        <v>12</v>
      </c>
      <c r="CF84" s="22" t="s">
        <v>13</v>
      </c>
      <c r="CG84" s="22" t="s">
        <v>14</v>
      </c>
      <c r="CH84" s="22" t="s">
        <v>16</v>
      </c>
      <c r="CI84" s="22" t="s">
        <v>4</v>
      </c>
      <c r="CJ84" s="22" t="s">
        <v>5</v>
      </c>
      <c r="CK84" s="22" t="s">
        <v>6</v>
      </c>
      <c r="CL84" s="22" t="s">
        <v>7</v>
      </c>
      <c r="CM84" s="22" t="s">
        <v>8</v>
      </c>
      <c r="CN84" s="22" t="s">
        <v>18</v>
      </c>
      <c r="CO84" s="22" t="s">
        <v>10</v>
      </c>
      <c r="CP84" s="22" t="s">
        <v>11</v>
      </c>
      <c r="CQ84" s="22" t="s">
        <v>12</v>
      </c>
      <c r="CR84" s="22" t="s">
        <v>20</v>
      </c>
      <c r="CS84" s="22" t="s">
        <v>14</v>
      </c>
      <c r="CT84" s="22" t="s">
        <v>22</v>
      </c>
      <c r="CU84" s="22" t="s">
        <v>19</v>
      </c>
      <c r="CV84" s="22" t="s">
        <v>5</v>
      </c>
      <c r="CW84" s="22" t="s">
        <v>15</v>
      </c>
      <c r="CX84" s="22" t="s">
        <v>7</v>
      </c>
      <c r="CY84" s="22" t="s">
        <v>23</v>
      </c>
      <c r="CZ84" s="22" t="s">
        <v>18</v>
      </c>
      <c r="DA84" s="22" t="s">
        <v>24</v>
      </c>
      <c r="DB84" s="22" t="s">
        <v>11</v>
      </c>
      <c r="DC84" s="22" t="s">
        <v>12</v>
      </c>
      <c r="DD84" s="22" t="s">
        <v>13</v>
      </c>
      <c r="DE84" s="22" t="s">
        <v>14</v>
      </c>
      <c r="DF84" s="22" t="s">
        <v>16</v>
      </c>
      <c r="DG84" s="22" t="s">
        <v>4</v>
      </c>
      <c r="DH84" s="22" t="s">
        <v>5</v>
      </c>
      <c r="DI84" s="22" t="s">
        <v>15</v>
      </c>
      <c r="DJ84" s="22" t="s">
        <v>7</v>
      </c>
      <c r="DK84" s="22" t="s">
        <v>8</v>
      </c>
      <c r="DL84" s="22" t="s">
        <v>18</v>
      </c>
      <c r="DM84" s="22" t="s">
        <v>24</v>
      </c>
      <c r="DN84" s="22" t="s">
        <v>11</v>
      </c>
      <c r="DO84" s="22" t="s">
        <v>12</v>
      </c>
      <c r="DP84" s="22" t="s">
        <v>20</v>
      </c>
      <c r="DQ84" s="22" t="s">
        <v>14</v>
      </c>
      <c r="DR84" s="22" t="s">
        <v>22</v>
      </c>
      <c r="DS84" s="22" t="s">
        <v>19</v>
      </c>
      <c r="DT84" s="22" t="s">
        <v>5</v>
      </c>
      <c r="DU84" s="22" t="s">
        <v>15</v>
      </c>
      <c r="DV84" s="22" t="s">
        <v>7</v>
      </c>
      <c r="DW84" s="22" t="s">
        <v>8</v>
      </c>
      <c r="DX84" s="22" t="s">
        <v>18</v>
      </c>
      <c r="DY84" s="22" t="s">
        <v>24</v>
      </c>
      <c r="DZ84" s="22" t="s">
        <v>11</v>
      </c>
      <c r="EA84" s="22" t="s">
        <v>12</v>
      </c>
      <c r="EB84" s="22" t="s">
        <v>20</v>
      </c>
      <c r="EC84" s="22" t="s">
        <v>21</v>
      </c>
      <c r="ED84" s="22" t="s">
        <v>22</v>
      </c>
      <c r="EE84" s="22" t="s">
        <v>4</v>
      </c>
      <c r="EF84" s="22" t="s">
        <v>5</v>
      </c>
      <c r="EG84" s="22" t="s">
        <v>15</v>
      </c>
      <c r="EH84" s="22" t="s">
        <v>17</v>
      </c>
      <c r="EI84" s="22" t="s">
        <v>23</v>
      </c>
      <c r="EJ84" s="22" t="s">
        <v>18</v>
      </c>
      <c r="EK84" s="22" t="s">
        <v>24</v>
      </c>
      <c r="EL84" s="22" t="s">
        <v>11</v>
      </c>
      <c r="EM84" s="22" t="s">
        <v>12</v>
      </c>
      <c r="EN84" s="22" t="s">
        <v>20</v>
      </c>
      <c r="EO84" s="22" t="s">
        <v>21</v>
      </c>
      <c r="EP84" s="22" t="s">
        <v>22</v>
      </c>
      <c r="EQ84" s="22" t="s">
        <v>4</v>
      </c>
      <c r="ER84" s="22" t="s">
        <v>5</v>
      </c>
      <c r="ES84" s="22" t="s">
        <v>6</v>
      </c>
      <c r="ET84" s="22" t="s">
        <v>17</v>
      </c>
      <c r="EU84" s="22" t="s">
        <v>8</v>
      </c>
      <c r="EV84" s="22" t="s">
        <v>18</v>
      </c>
      <c r="EW84" s="22" t="s">
        <v>24</v>
      </c>
      <c r="EX84" s="22" t="s">
        <v>11</v>
      </c>
      <c r="EY84" s="22" t="s">
        <v>12</v>
      </c>
      <c r="EZ84" s="22" t="s">
        <v>20</v>
      </c>
      <c r="FA84" s="22" t="s">
        <v>14</v>
      </c>
      <c r="FB84" s="22" t="s">
        <v>22</v>
      </c>
      <c r="FC84" s="22" t="s">
        <v>4</v>
      </c>
      <c r="FD84" s="22" t="s">
        <v>5</v>
      </c>
      <c r="FE84" s="22" t="s">
        <v>6</v>
      </c>
      <c r="FF84" s="22" t="s">
        <v>7</v>
      </c>
      <c r="FG84" s="22" t="s">
        <v>8</v>
      </c>
      <c r="FH84" s="22" t="s">
        <v>9</v>
      </c>
      <c r="FI84" s="22" t="s">
        <v>24</v>
      </c>
      <c r="FJ84" s="22" t="s">
        <v>11</v>
      </c>
      <c r="FK84" s="22" t="s">
        <v>12</v>
      </c>
      <c r="FL84" s="22" t="s">
        <v>20</v>
      </c>
      <c r="FM84" s="22" t="s">
        <v>14</v>
      </c>
      <c r="FN84" s="22" t="s">
        <v>22</v>
      </c>
      <c r="FO84" s="22" t="s">
        <v>19</v>
      </c>
      <c r="FP84" s="22" t="s">
        <v>27</v>
      </c>
      <c r="FQ84" s="22" t="s">
        <v>15</v>
      </c>
      <c r="FR84" s="22" t="s">
        <v>7</v>
      </c>
      <c r="FS84" s="22" t="s">
        <v>8</v>
      </c>
      <c r="FT84" s="22" t="s">
        <v>9</v>
      </c>
      <c r="FU84" s="22" t="s">
        <v>10</v>
      </c>
      <c r="FV84" s="22" t="s">
        <v>11</v>
      </c>
      <c r="FW84" s="22" t="s">
        <v>12</v>
      </c>
      <c r="FX84" s="22" t="s">
        <v>20</v>
      </c>
      <c r="FY84" s="22" t="s">
        <v>14</v>
      </c>
      <c r="FZ84" s="22" t="s">
        <v>16</v>
      </c>
      <c r="GA84" s="22" t="s">
        <v>19</v>
      </c>
      <c r="GB84" s="22" t="s">
        <v>5</v>
      </c>
      <c r="GC84" s="22" t="s">
        <v>6</v>
      </c>
      <c r="GD84" s="22" t="s">
        <v>7</v>
      </c>
      <c r="GE84" s="22" t="s">
        <v>8</v>
      </c>
      <c r="GF84" s="22" t="s">
        <v>18</v>
      </c>
      <c r="GG84" s="22" t="s">
        <v>24</v>
      </c>
      <c r="GH84" s="22" t="s">
        <v>11</v>
      </c>
      <c r="GI84" s="22" t="s">
        <v>12</v>
      </c>
      <c r="GJ84" s="22" t="s">
        <v>13</v>
      </c>
      <c r="GK84" s="22" t="s">
        <v>14</v>
      </c>
      <c r="GL84" s="22" t="s">
        <v>22</v>
      </c>
      <c r="GM84" s="22" t="s">
        <v>4</v>
      </c>
      <c r="GN84" s="22" t="s">
        <v>5</v>
      </c>
      <c r="GO84" s="22" t="s">
        <v>6</v>
      </c>
      <c r="GP84" s="22" t="s">
        <v>7</v>
      </c>
      <c r="GQ84" s="22" t="s">
        <v>8</v>
      </c>
      <c r="GR84" s="22" t="s">
        <v>18</v>
      </c>
      <c r="GV84" s="20" t="s">
        <v>3</v>
      </c>
      <c r="GW84" s="21" t="s">
        <v>4</v>
      </c>
      <c r="GX84" s="20" t="s">
        <v>5</v>
      </c>
      <c r="GY84" s="20" t="s">
        <v>6</v>
      </c>
      <c r="GZ84" s="20" t="s">
        <v>7</v>
      </c>
      <c r="HA84" s="20" t="s">
        <v>8</v>
      </c>
      <c r="HB84" s="20" t="s">
        <v>9</v>
      </c>
      <c r="HC84" s="20" t="s">
        <v>10</v>
      </c>
      <c r="HD84" s="20" t="s">
        <v>11</v>
      </c>
      <c r="HE84" s="20" t="s">
        <v>12</v>
      </c>
      <c r="HF84" s="20" t="s">
        <v>13</v>
      </c>
      <c r="HG84" s="20" t="s">
        <v>14</v>
      </c>
      <c r="HH84" s="20" t="s">
        <v>3</v>
      </c>
      <c r="HI84" s="20" t="s">
        <v>4</v>
      </c>
      <c r="HJ84" s="20" t="s">
        <v>5</v>
      </c>
      <c r="HK84" s="20" t="s">
        <v>15</v>
      </c>
      <c r="HL84" s="22" t="s">
        <v>7</v>
      </c>
      <c r="HM84" s="22" t="s">
        <v>8</v>
      </c>
      <c r="HN84" s="22" t="s">
        <v>9</v>
      </c>
      <c r="HO84" s="22" t="s">
        <v>10</v>
      </c>
      <c r="HP84" s="22" t="s">
        <v>11</v>
      </c>
      <c r="HQ84" s="22" t="s">
        <v>12</v>
      </c>
      <c r="HR84" s="22" t="s">
        <v>13</v>
      </c>
      <c r="HS84" s="22" t="s">
        <v>14</v>
      </c>
      <c r="HT84" s="22" t="s">
        <v>16</v>
      </c>
      <c r="HU84" s="22" t="s">
        <v>16</v>
      </c>
      <c r="HV84" s="22" t="s">
        <v>5</v>
      </c>
      <c r="HW84" s="22" t="s">
        <v>6</v>
      </c>
      <c r="HX84" s="22" t="s">
        <v>17</v>
      </c>
      <c r="HY84" s="22" t="s">
        <v>8</v>
      </c>
      <c r="HZ84" s="22" t="s">
        <v>18</v>
      </c>
      <c r="IA84" s="22" t="s">
        <v>10</v>
      </c>
      <c r="IB84" s="22" t="s">
        <v>11</v>
      </c>
      <c r="IC84" s="22" t="s">
        <v>12</v>
      </c>
      <c r="ID84" s="22" t="s">
        <v>13</v>
      </c>
      <c r="IE84" s="22" t="s">
        <v>26</v>
      </c>
      <c r="IF84" s="22" t="s">
        <v>16</v>
      </c>
      <c r="IG84" s="22" t="s">
        <v>4</v>
      </c>
      <c r="IH84" s="22" t="s">
        <v>5</v>
      </c>
      <c r="II84" s="22" t="s">
        <v>6</v>
      </c>
      <c r="IJ84" s="22" t="s">
        <v>7</v>
      </c>
      <c r="IK84" s="22" t="s">
        <v>8</v>
      </c>
      <c r="IL84" s="22" t="s">
        <v>18</v>
      </c>
      <c r="IM84" s="22" t="s">
        <v>10</v>
      </c>
      <c r="IN84" s="22" t="s">
        <v>11</v>
      </c>
      <c r="IO84" s="22" t="s">
        <v>12</v>
      </c>
      <c r="IP84" s="22" t="s">
        <v>13</v>
      </c>
      <c r="IQ84" s="22" t="s">
        <v>14</v>
      </c>
      <c r="IR84" s="22" t="s">
        <v>3</v>
      </c>
      <c r="IS84" s="22" t="s">
        <v>4</v>
      </c>
      <c r="IT84" s="22" t="s">
        <v>5</v>
      </c>
      <c r="IU84" s="22" t="s">
        <v>15</v>
      </c>
      <c r="IV84" s="22" t="s">
        <v>7</v>
      </c>
      <c r="IW84" s="22" t="s">
        <v>8</v>
      </c>
      <c r="IX84" s="22" t="s">
        <v>18</v>
      </c>
      <c r="IY84" s="22" t="s">
        <v>10</v>
      </c>
      <c r="IZ84" s="22" t="s">
        <v>11</v>
      </c>
      <c r="JA84" s="22" t="s">
        <v>12</v>
      </c>
      <c r="JB84" s="22" t="s">
        <v>20</v>
      </c>
      <c r="JC84" s="22" t="s">
        <v>21</v>
      </c>
      <c r="JD84" s="22" t="s">
        <v>16</v>
      </c>
      <c r="JE84" s="22" t="s">
        <v>4</v>
      </c>
      <c r="JF84" s="22" t="s">
        <v>5</v>
      </c>
      <c r="JG84" s="22" t="s">
        <v>6</v>
      </c>
      <c r="JH84" s="22" t="s">
        <v>7</v>
      </c>
      <c r="JI84" s="22" t="s">
        <v>8</v>
      </c>
      <c r="JJ84" s="22" t="s">
        <v>9</v>
      </c>
      <c r="JK84" s="22" t="s">
        <v>10</v>
      </c>
      <c r="JL84" s="22" t="s">
        <v>11</v>
      </c>
      <c r="JM84" s="22" t="s">
        <v>12</v>
      </c>
      <c r="JN84" s="22" t="s">
        <v>20</v>
      </c>
      <c r="JO84" s="22" t="s">
        <v>21</v>
      </c>
      <c r="JP84" s="22" t="s">
        <v>22</v>
      </c>
      <c r="JQ84" s="22" t="s">
        <v>4</v>
      </c>
      <c r="JR84" s="22" t="s">
        <v>5</v>
      </c>
      <c r="JS84" s="22" t="s">
        <v>6</v>
      </c>
      <c r="JT84" s="22" t="s">
        <v>17</v>
      </c>
      <c r="JU84" s="22" t="s">
        <v>23</v>
      </c>
      <c r="JV84" s="22" t="s">
        <v>18</v>
      </c>
      <c r="JW84" s="22" t="s">
        <v>24</v>
      </c>
      <c r="JX84" s="22" t="s">
        <v>11</v>
      </c>
      <c r="JY84" s="22" t="s">
        <v>12</v>
      </c>
      <c r="JZ84" s="22" t="s">
        <v>13</v>
      </c>
      <c r="KA84" s="22" t="s">
        <v>14</v>
      </c>
      <c r="KB84" s="22" t="s">
        <v>22</v>
      </c>
      <c r="KC84" s="22" t="s">
        <v>4</v>
      </c>
      <c r="KD84" s="22" t="s">
        <v>5</v>
      </c>
      <c r="KE84" s="22" t="s">
        <v>6</v>
      </c>
      <c r="KF84" s="22" t="s">
        <v>17</v>
      </c>
      <c r="KG84" s="22" t="s">
        <v>8</v>
      </c>
      <c r="KH84" s="22" t="s">
        <v>18</v>
      </c>
      <c r="KI84" s="22" t="s">
        <v>10</v>
      </c>
      <c r="KJ84" s="22" t="s">
        <v>11</v>
      </c>
      <c r="KK84" s="22" t="s">
        <v>12</v>
      </c>
      <c r="KL84" s="22" t="s">
        <v>20</v>
      </c>
      <c r="KM84" s="22" t="s">
        <v>21</v>
      </c>
      <c r="KN84" s="22" t="s">
        <v>16</v>
      </c>
      <c r="KO84" s="22" t="s">
        <v>19</v>
      </c>
      <c r="KP84" s="22" t="s">
        <v>5</v>
      </c>
      <c r="KQ84" s="22" t="s">
        <v>6</v>
      </c>
      <c r="KR84" s="22" t="s">
        <v>7</v>
      </c>
      <c r="KS84" s="22" t="s">
        <v>8</v>
      </c>
      <c r="KT84" s="22" t="s">
        <v>18</v>
      </c>
      <c r="KU84" s="22" t="s">
        <v>24</v>
      </c>
      <c r="KV84" s="22" t="s">
        <v>11</v>
      </c>
      <c r="KW84" s="22" t="s">
        <v>12</v>
      </c>
      <c r="KX84" s="22" t="s">
        <v>20</v>
      </c>
      <c r="KY84" s="22" t="s">
        <v>14</v>
      </c>
      <c r="KZ84" s="22" t="s">
        <v>16</v>
      </c>
      <c r="LA84" s="22" t="s">
        <v>4</v>
      </c>
      <c r="LB84" s="22" t="s">
        <v>27</v>
      </c>
      <c r="LC84" s="22" t="s">
        <v>6</v>
      </c>
      <c r="LD84" s="22" t="s">
        <v>7</v>
      </c>
      <c r="LE84" s="22" t="s">
        <v>8</v>
      </c>
      <c r="LF84" s="22" t="s">
        <v>9</v>
      </c>
      <c r="LG84" s="22" t="s">
        <v>24</v>
      </c>
      <c r="LH84" s="22" t="s">
        <v>11</v>
      </c>
      <c r="LI84" s="22" t="s">
        <v>12</v>
      </c>
      <c r="LJ84" s="22" t="s">
        <v>20</v>
      </c>
      <c r="LK84" s="22" t="s">
        <v>14</v>
      </c>
      <c r="LL84" s="22" t="s">
        <v>22</v>
      </c>
      <c r="LM84" s="22" t="s">
        <v>19</v>
      </c>
      <c r="LN84" s="22" t="s">
        <v>5</v>
      </c>
      <c r="LO84" s="22" t="s">
        <v>15</v>
      </c>
      <c r="LP84" s="22" t="s">
        <v>7</v>
      </c>
      <c r="LQ84" s="22" t="s">
        <v>8</v>
      </c>
      <c r="LR84" s="22" t="s">
        <v>18</v>
      </c>
      <c r="LS84" s="22" t="s">
        <v>10</v>
      </c>
      <c r="LT84" s="22" t="s">
        <v>11</v>
      </c>
      <c r="LU84" s="22" t="s">
        <v>12</v>
      </c>
      <c r="LV84" s="22" t="s">
        <v>13</v>
      </c>
      <c r="LW84" s="22" t="s">
        <v>14</v>
      </c>
      <c r="LX84" s="22" t="s">
        <v>22</v>
      </c>
      <c r="LY84" s="22" t="s">
        <v>4</v>
      </c>
      <c r="LZ84" s="22" t="s">
        <v>5</v>
      </c>
      <c r="MA84" s="22" t="s">
        <v>6</v>
      </c>
      <c r="MB84" s="22" t="s">
        <v>17</v>
      </c>
      <c r="MC84" s="22" t="s">
        <v>8</v>
      </c>
      <c r="MD84" s="22" t="s">
        <v>18</v>
      </c>
      <c r="ME84" s="22" t="s">
        <v>24</v>
      </c>
      <c r="MF84" s="22" t="s">
        <v>11</v>
      </c>
      <c r="MG84" s="22" t="s">
        <v>101</v>
      </c>
      <c r="MH84" s="22" t="s">
        <v>20</v>
      </c>
      <c r="MI84" s="22" t="s">
        <v>14</v>
      </c>
      <c r="MJ84" s="22" t="s">
        <v>22</v>
      </c>
      <c r="MK84" s="22" t="s">
        <v>4</v>
      </c>
      <c r="ML84" s="22" t="s">
        <v>5</v>
      </c>
      <c r="MM84" s="22" t="s">
        <v>6</v>
      </c>
      <c r="MN84" s="22" t="s">
        <v>17</v>
      </c>
      <c r="MO84" s="22" t="s">
        <v>8</v>
      </c>
      <c r="MP84" s="22" t="s">
        <v>18</v>
      </c>
      <c r="MQ84" s="22" t="s">
        <v>24</v>
      </c>
      <c r="MR84" s="22" t="s">
        <v>11</v>
      </c>
      <c r="MS84" s="22" t="s">
        <v>12</v>
      </c>
      <c r="MT84" s="22" t="s">
        <v>20</v>
      </c>
      <c r="MU84" s="22" t="s">
        <v>14</v>
      </c>
      <c r="MV84" s="22" t="s">
        <v>22</v>
      </c>
      <c r="MW84" s="22" t="s">
        <v>4</v>
      </c>
      <c r="MX84" s="22" t="s">
        <v>5</v>
      </c>
      <c r="MY84" s="22" t="s">
        <v>6</v>
      </c>
      <c r="MZ84" s="22" t="s">
        <v>7</v>
      </c>
      <c r="NA84" s="22" t="s">
        <v>8</v>
      </c>
      <c r="NB84" s="22" t="s">
        <v>18</v>
      </c>
      <c r="NC84" s="22" t="s">
        <v>24</v>
      </c>
      <c r="ND84" s="22" t="s">
        <v>24</v>
      </c>
      <c r="NE84" s="22" t="s">
        <v>12</v>
      </c>
      <c r="NF84" s="22" t="s">
        <v>20</v>
      </c>
      <c r="NG84" s="22" t="s">
        <v>14</v>
      </c>
      <c r="NH84" s="22" t="s">
        <v>22</v>
      </c>
      <c r="NI84" s="22" t="s">
        <v>19</v>
      </c>
      <c r="NJ84" s="22" t="s">
        <v>27</v>
      </c>
      <c r="NK84" s="22" t="s">
        <v>6</v>
      </c>
      <c r="NL84" s="22" t="s">
        <v>7</v>
      </c>
      <c r="NM84" s="22" t="s">
        <v>8</v>
      </c>
      <c r="NN84" s="22" t="s">
        <v>9</v>
      </c>
      <c r="NO84" s="22" t="s">
        <v>10</v>
      </c>
      <c r="NP84" s="22" t="s">
        <v>11</v>
      </c>
      <c r="NQ84" s="22" t="s">
        <v>12</v>
      </c>
      <c r="NR84" s="22" t="s">
        <v>20</v>
      </c>
      <c r="NS84" s="22" t="s">
        <v>14</v>
      </c>
      <c r="NT84" s="22" t="s">
        <v>16</v>
      </c>
      <c r="NU84" s="22" t="s">
        <v>19</v>
      </c>
      <c r="NV84" s="22" t="s">
        <v>5</v>
      </c>
      <c r="NW84" s="22" t="s">
        <v>6</v>
      </c>
      <c r="NX84" s="22" t="s">
        <v>7</v>
      </c>
      <c r="NY84" s="22" t="s">
        <v>8</v>
      </c>
      <c r="NZ84" s="22" t="s">
        <v>18</v>
      </c>
      <c r="OA84" s="22" t="s">
        <v>24</v>
      </c>
      <c r="OB84" s="22" t="s">
        <v>11</v>
      </c>
      <c r="OC84" s="22" t="s">
        <v>12</v>
      </c>
      <c r="OD84" s="22" t="s">
        <v>13</v>
      </c>
      <c r="OE84" s="22" t="s">
        <v>14</v>
      </c>
      <c r="OF84" s="22" t="s">
        <v>16</v>
      </c>
      <c r="OG84" s="22" t="s">
        <v>4</v>
      </c>
      <c r="OH84" s="22" t="s">
        <v>5</v>
      </c>
      <c r="OI84" s="22" t="s">
        <v>15</v>
      </c>
      <c r="OJ84" s="22" t="s">
        <v>7</v>
      </c>
      <c r="OK84" s="22" t="s">
        <v>8</v>
      </c>
      <c r="OL84" s="22" t="s">
        <v>18</v>
      </c>
    </row>
    <row r="85" spans="1:402" s="149" customFormat="1" x14ac:dyDescent="0.35">
      <c r="A85" s="147"/>
      <c r="B85" s="153">
        <f>'[1]Sept 07'!H29</f>
        <v>0.91839377181266479</v>
      </c>
      <c r="C85" s="153">
        <f>'[1]Oct 07'!H29</f>
        <v>0.95325713748959373</v>
      </c>
      <c r="D85" s="153">
        <f>'[1]Nov 07'!H29</f>
        <v>0.92814020770272754</v>
      </c>
      <c r="E85" s="153">
        <f>'[1]Dec 07'!H29</f>
        <v>0.94064602397902841</v>
      </c>
      <c r="F85" s="153">
        <f>'[1]Jan 08'!H29</f>
        <v>0.95744680851063835</v>
      </c>
      <c r="G85" s="149">
        <v>0.93100000000000005</v>
      </c>
      <c r="H85" s="149">
        <f>'[1]Mar 08'!H29</f>
        <v>0.9271822174835499</v>
      </c>
      <c r="I85" s="149">
        <v>0.89993546619323639</v>
      </c>
      <c r="J85" s="149">
        <f>'[1]May 08'!H29</f>
        <v>0.89244215418813777</v>
      </c>
      <c r="K85" s="149">
        <f>'[1]Jun 08'!H29</f>
        <v>0.88884164390730536</v>
      </c>
      <c r="L85" s="149">
        <f>'[1]Jul 08'!H29</f>
        <v>0.91685012142812661</v>
      </c>
      <c r="M85" s="149">
        <f>'[1]Aug 08'!H29</f>
        <v>0.89895875454913066</v>
      </c>
      <c r="N85" s="149">
        <v>0.89200000000000002</v>
      </c>
      <c r="O85" s="149">
        <v>0.86399999999999999</v>
      </c>
      <c r="P85" s="149">
        <v>0.77300000000000002</v>
      </c>
      <c r="Q85" s="149">
        <v>0.86899999999999999</v>
      </c>
      <c r="R85" s="149">
        <v>0.91100000000000003</v>
      </c>
      <c r="S85" s="149">
        <v>0.87</v>
      </c>
      <c r="T85" s="149">
        <v>0.77300000000000002</v>
      </c>
      <c r="U85" s="149">
        <v>0.88800000000000001</v>
      </c>
      <c r="V85" s="149">
        <v>0.874</v>
      </c>
      <c r="W85" s="149">
        <v>0.85399999999999998</v>
      </c>
      <c r="X85" s="149">
        <v>0.85799999999999998</v>
      </c>
      <c r="Y85" s="149">
        <v>0.88200000000000001</v>
      </c>
      <c r="Z85" s="149">
        <f>2215000/2536250</f>
        <v>0.87333661902414983</v>
      </c>
      <c r="AA85" s="149">
        <v>0.92200000000000004</v>
      </c>
      <c r="AB85" s="149">
        <v>0.88300000000000001</v>
      </c>
      <c r="AC85" s="149">
        <v>0.85799999999999998</v>
      </c>
      <c r="AD85" s="149">
        <v>0.86199999999999999</v>
      </c>
      <c r="AE85" s="149">
        <v>0.85699999999999998</v>
      </c>
      <c r="AF85" s="149">
        <v>0.879</v>
      </c>
      <c r="AG85" s="149">
        <v>0.89200000000000002</v>
      </c>
      <c r="AH85" s="149">
        <v>0.90100000000000002</v>
      </c>
      <c r="AI85" s="146">
        <v>0.879</v>
      </c>
      <c r="AJ85" s="146">
        <v>0.85299999999999998</v>
      </c>
      <c r="AK85" s="146">
        <v>0.90100000000000002</v>
      </c>
      <c r="AL85" s="146">
        <v>0.81100000000000005</v>
      </c>
      <c r="AM85" s="146">
        <v>0.83899999999999997</v>
      </c>
      <c r="AN85" s="146">
        <v>0.86</v>
      </c>
      <c r="AO85" s="146">
        <v>0.86899999999999999</v>
      </c>
      <c r="AP85" s="146">
        <v>0.85599999999999998</v>
      </c>
      <c r="AQ85" s="146">
        <v>0.89100000000000001</v>
      </c>
      <c r="AR85" s="146">
        <v>0.91600000000000004</v>
      </c>
      <c r="AS85" s="146">
        <v>0.91900000000000004</v>
      </c>
      <c r="AT85" s="146">
        <v>0.88400000000000001</v>
      </c>
      <c r="AU85" s="146">
        <v>0.85199999999999998</v>
      </c>
      <c r="AV85" s="146">
        <v>0.86599999999999999</v>
      </c>
      <c r="AW85" s="146">
        <f>2108333/2490817</f>
        <v>0.84644235204754104</v>
      </c>
      <c r="AX85" s="146">
        <v>0.86</v>
      </c>
      <c r="AY85" s="146">
        <v>0.89400000000000002</v>
      </c>
      <c r="AZ85" s="146">
        <v>0.86599999999999999</v>
      </c>
      <c r="BA85" s="146">
        <v>0.92</v>
      </c>
      <c r="BB85" s="146">
        <v>0.95199999999999996</v>
      </c>
      <c r="BC85" s="146">
        <v>0.94899999999999995</v>
      </c>
      <c r="BD85" s="146">
        <v>0.90200000000000002</v>
      </c>
      <c r="BE85" s="146">
        <v>0.871</v>
      </c>
      <c r="BF85" s="146">
        <v>0.91700000000000004</v>
      </c>
      <c r="BG85" s="146">
        <v>0.94399999999999995</v>
      </c>
      <c r="BH85" s="146">
        <v>0.94499999999999995</v>
      </c>
      <c r="BI85" s="146">
        <v>0.876</v>
      </c>
      <c r="BJ85" s="146">
        <v>0.76</v>
      </c>
      <c r="BK85" s="146">
        <v>0.90400000000000003</v>
      </c>
      <c r="BL85" s="146">
        <v>0.91200000000000003</v>
      </c>
      <c r="BM85" s="146">
        <v>0.88600000000000001</v>
      </c>
      <c r="BN85" s="146">
        <v>0.90800000000000003</v>
      </c>
      <c r="BO85" s="146">
        <v>0.93799999999999994</v>
      </c>
      <c r="BP85" s="146">
        <v>0.91300000000000003</v>
      </c>
      <c r="BQ85" s="146">
        <v>0.91200000000000003</v>
      </c>
      <c r="BR85" s="146">
        <v>0.92200000000000004</v>
      </c>
      <c r="BS85" s="146">
        <v>0.95</v>
      </c>
      <c r="BT85" s="146">
        <v>0.90500000000000003</v>
      </c>
      <c r="BU85" s="146">
        <v>1.046</v>
      </c>
      <c r="BV85" s="146">
        <v>0.92200000000000004</v>
      </c>
      <c r="BW85" s="146">
        <v>0.89900000000000002</v>
      </c>
      <c r="BX85" s="146">
        <v>0.88600000000000001</v>
      </c>
      <c r="BY85" s="146">
        <v>0.96099999999999997</v>
      </c>
      <c r="BZ85" s="146">
        <v>0.89600000000000002</v>
      </c>
      <c r="CA85" s="146">
        <v>0.85699999999999998</v>
      </c>
      <c r="CB85" s="146">
        <v>0.92800000000000005</v>
      </c>
      <c r="CC85" s="146">
        <v>0.90900000000000003</v>
      </c>
      <c r="CD85" s="146">
        <v>0.95399999999999996</v>
      </c>
      <c r="CE85" s="146">
        <v>0.95299999999999996</v>
      </c>
      <c r="CF85" s="146">
        <v>0.99199999999999999</v>
      </c>
      <c r="CG85" s="146">
        <v>0.92400000000000004</v>
      </c>
      <c r="CH85" s="146">
        <v>0.90600000000000003</v>
      </c>
      <c r="CI85" s="146">
        <v>0.91700000000000004</v>
      </c>
      <c r="CJ85" s="146">
        <v>0.93500000000000005</v>
      </c>
      <c r="CK85" s="146">
        <v>0.93600000000000005</v>
      </c>
      <c r="CL85" s="146">
        <v>0.96399999999999997</v>
      </c>
      <c r="CM85" s="146">
        <v>0.92400000000000004</v>
      </c>
      <c r="CN85" s="146">
        <v>0.94099999999999995</v>
      </c>
      <c r="CO85" s="146">
        <v>0.95299999999999996</v>
      </c>
      <c r="CP85" s="146">
        <v>0.94699999999999995</v>
      </c>
      <c r="CQ85" s="146">
        <v>0.92900000000000005</v>
      </c>
      <c r="CR85" s="146">
        <v>0.93400000000000005</v>
      </c>
      <c r="CS85" s="146">
        <v>0.91300000000000003</v>
      </c>
      <c r="CT85" s="146">
        <v>0.93899999999999995</v>
      </c>
      <c r="CU85" s="146">
        <v>0.90700000000000003</v>
      </c>
      <c r="CV85" s="146">
        <v>0.93</v>
      </c>
      <c r="CW85" s="146">
        <v>0.97499999999999998</v>
      </c>
      <c r="CX85" s="146">
        <v>0.91100000000000003</v>
      </c>
      <c r="CY85" s="146">
        <v>0.996</v>
      </c>
      <c r="CZ85" s="146">
        <v>0.95199999999999996</v>
      </c>
      <c r="DA85" s="146">
        <v>0.91</v>
      </c>
      <c r="DB85" s="146">
        <v>0.93899999999999995</v>
      </c>
      <c r="DC85" s="146">
        <v>0.93400000000000005</v>
      </c>
      <c r="DD85" s="146">
        <v>0.89400000000000002</v>
      </c>
      <c r="DE85" s="146">
        <v>0.89800000000000002</v>
      </c>
      <c r="DF85" s="146">
        <v>0.96099999999999997</v>
      </c>
      <c r="DG85" s="146">
        <v>0.88200000000000001</v>
      </c>
      <c r="DH85" s="146">
        <v>0.94599999999999995</v>
      </c>
      <c r="DI85" s="146">
        <v>0.94199999999999995</v>
      </c>
      <c r="DJ85" s="146">
        <v>0.94399999999999995</v>
      </c>
      <c r="DK85" s="146">
        <v>0.92900000000000005</v>
      </c>
      <c r="DL85" s="146">
        <v>0.93100000000000005</v>
      </c>
      <c r="DM85" s="146">
        <v>0.91800000000000004</v>
      </c>
      <c r="DN85" s="146">
        <v>0.90900000000000003</v>
      </c>
      <c r="DO85" s="146">
        <v>0.90600000000000003</v>
      </c>
      <c r="DP85" s="146">
        <v>0.93300000000000005</v>
      </c>
      <c r="DQ85" s="146">
        <v>0.94599999999999995</v>
      </c>
      <c r="DR85" s="146">
        <v>0.92400000000000004</v>
      </c>
      <c r="DS85" s="146">
        <v>0.93600000000000005</v>
      </c>
      <c r="DT85" s="146">
        <v>0.94399999999999995</v>
      </c>
      <c r="DU85" s="146">
        <v>0.91600000000000004</v>
      </c>
      <c r="DV85" s="146">
        <v>0.94199999999999995</v>
      </c>
      <c r="DW85" s="146">
        <v>0.95799999999999996</v>
      </c>
      <c r="DX85" s="146">
        <v>0.91400000000000003</v>
      </c>
      <c r="DY85" s="146">
        <v>0.93400000000000005</v>
      </c>
      <c r="DZ85" s="146">
        <v>0.92400000000000004</v>
      </c>
      <c r="EA85" s="146">
        <v>0.88700000000000001</v>
      </c>
      <c r="EB85" s="146">
        <v>0.91500000000000004</v>
      </c>
      <c r="EC85" s="146">
        <v>0.90600000000000003</v>
      </c>
      <c r="ED85" s="146">
        <v>0.97099999999999997</v>
      </c>
      <c r="EE85" s="146">
        <v>0.92800000000000005</v>
      </c>
      <c r="EF85" s="146">
        <v>0.94699999999999995</v>
      </c>
      <c r="EG85" s="146">
        <v>0.96899999999999997</v>
      </c>
      <c r="EH85" s="146">
        <v>0.90400000000000003</v>
      </c>
      <c r="EI85" s="146">
        <v>0.93100000000000005</v>
      </c>
      <c r="EJ85" s="146">
        <v>0.94299999999999995</v>
      </c>
      <c r="EK85" s="146">
        <v>0.93700000000000006</v>
      </c>
      <c r="EL85" s="146">
        <v>0.92200000000000004</v>
      </c>
      <c r="EM85" s="146">
        <v>0.95</v>
      </c>
      <c r="EN85" s="146">
        <v>0.93799999999999994</v>
      </c>
      <c r="EO85" s="146">
        <v>0.94399999999999995</v>
      </c>
      <c r="EP85" s="146">
        <v>0.94399999999999995</v>
      </c>
      <c r="EQ85" s="146">
        <v>0.93400000000000005</v>
      </c>
      <c r="ER85" s="146">
        <v>0.93700000000000006</v>
      </c>
      <c r="ES85" s="146">
        <v>0.95399999999999996</v>
      </c>
      <c r="ET85" s="146">
        <v>0.95799999999999996</v>
      </c>
      <c r="EU85" s="146">
        <v>0.95599999999999996</v>
      </c>
      <c r="EV85" s="146">
        <v>0.95499999999999996</v>
      </c>
      <c r="EW85" s="146">
        <v>0.92600000000000005</v>
      </c>
      <c r="EX85" s="146">
        <v>0.98699999999999999</v>
      </c>
      <c r="EY85" s="146">
        <v>0.96799999999999997</v>
      </c>
      <c r="EZ85" s="146">
        <v>0.92500000000000004</v>
      </c>
      <c r="FA85" s="146">
        <v>0.94499999999999995</v>
      </c>
      <c r="FB85" s="146">
        <v>0.95799999999999996</v>
      </c>
      <c r="FC85" s="146">
        <v>0.95399999999999996</v>
      </c>
      <c r="FD85" s="146">
        <v>0.94099999999999995</v>
      </c>
      <c r="FE85" s="146">
        <v>0.95</v>
      </c>
      <c r="FF85" s="146">
        <v>0.97099999999999997</v>
      </c>
      <c r="FG85" s="146">
        <v>0.95499999999999996</v>
      </c>
      <c r="FH85" s="146">
        <v>0.93799999999999994</v>
      </c>
      <c r="FI85" s="146">
        <v>0.997</v>
      </c>
      <c r="FJ85" s="146">
        <v>0.99</v>
      </c>
      <c r="FK85" s="146">
        <v>0.98699999999999999</v>
      </c>
      <c r="FL85" s="146">
        <v>0.96499999999999997</v>
      </c>
      <c r="FM85" s="146">
        <v>0.97599999999999998</v>
      </c>
      <c r="FN85" s="146">
        <v>0.96399999999999997</v>
      </c>
      <c r="FO85" s="146">
        <v>0.98199999999999998</v>
      </c>
      <c r="FP85" s="146">
        <v>1.0009999999999999</v>
      </c>
      <c r="FQ85" s="146">
        <v>0.97</v>
      </c>
      <c r="FR85" s="146">
        <v>0.99299999999999999</v>
      </c>
      <c r="FS85" s="146">
        <v>1.01</v>
      </c>
      <c r="FT85" s="146">
        <v>1.0229999999999999</v>
      </c>
      <c r="FU85" s="146">
        <v>1.004</v>
      </c>
      <c r="FV85" s="146">
        <v>1.006</v>
      </c>
      <c r="FW85" s="146">
        <v>0.99399999999999999</v>
      </c>
      <c r="FX85" s="146">
        <v>0.98499999999999999</v>
      </c>
      <c r="FY85" s="146">
        <v>0.95299999999999996</v>
      </c>
      <c r="FZ85" s="146">
        <v>0.96599999999999997</v>
      </c>
      <c r="GA85" s="146">
        <v>0.94599999999999995</v>
      </c>
      <c r="GB85" s="146">
        <v>0.94399999999999995</v>
      </c>
      <c r="GC85" s="146">
        <v>0.93500000000000005</v>
      </c>
      <c r="GD85" s="146">
        <v>0.94599999999999995</v>
      </c>
      <c r="GE85" s="146">
        <v>0.95599999999999996</v>
      </c>
      <c r="GF85" s="146">
        <v>0.94399999999999995</v>
      </c>
      <c r="GG85" s="146">
        <v>0.94799999999999995</v>
      </c>
      <c r="GH85" s="146">
        <v>0.95399999999999996</v>
      </c>
      <c r="GI85" s="146">
        <v>0.96399999999999997</v>
      </c>
      <c r="GJ85" s="146">
        <v>0.95399999999999996</v>
      </c>
      <c r="GK85" s="146">
        <v>0.91100000000000003</v>
      </c>
      <c r="GL85" s="146">
        <v>0.97699999999999998</v>
      </c>
      <c r="GM85" s="146">
        <v>0.95799999999999996</v>
      </c>
      <c r="GN85" s="146">
        <v>0.96099999999999997</v>
      </c>
      <c r="GO85" s="146">
        <v>0.94299999999999995</v>
      </c>
      <c r="GP85" s="146">
        <v>0.96299999999999997</v>
      </c>
      <c r="GQ85" s="146">
        <v>0.99399999999999999</v>
      </c>
      <c r="GR85" s="146">
        <v>0.96599999999999997</v>
      </c>
      <c r="GS85" s="150"/>
      <c r="GT85" s="154"/>
      <c r="GU85" s="154"/>
      <c r="GV85" s="153">
        <f>'[1]Sept 07'!H31</f>
        <v>1.1904761904761904E-2</v>
      </c>
      <c r="GW85" s="153">
        <f>'[1]Oct 07'!H31</f>
        <v>4.7445255474452552E-2</v>
      </c>
      <c r="GX85" s="153">
        <f>'[1]Nov 07'!H31</f>
        <v>3.4364261168384883E-2</v>
      </c>
      <c r="GY85" s="153">
        <f>'[1]Dec 07'!H31</f>
        <v>2.3972602739726026E-2</v>
      </c>
      <c r="GZ85" s="149">
        <f>'[1]Jan 08'!H31</f>
        <v>1.1331444759206799E-2</v>
      </c>
      <c r="HA85" s="149">
        <v>1.9E-2</v>
      </c>
      <c r="HB85" s="149">
        <f>'[1]Mar 08'!H31</f>
        <v>2.9490616621983913E-2</v>
      </c>
      <c r="HC85" s="149">
        <v>1.3192612137203167E-2</v>
      </c>
      <c r="HD85" s="149">
        <f>'[1]May 08'!H31</f>
        <v>2.2160664819944598E-2</v>
      </c>
      <c r="HE85" s="149">
        <f>'[1]Jun 08'!H31</f>
        <v>2.967359050445104E-2</v>
      </c>
      <c r="HF85" s="149">
        <f>'[1]Jul 08'!H31</f>
        <v>1.4925373134328358E-2</v>
      </c>
      <c r="HG85" s="149">
        <v>2.4E-2</v>
      </c>
      <c r="HH85" s="149">
        <v>3.0000000000000001E-3</v>
      </c>
      <c r="HI85" s="149">
        <v>1.4E-2</v>
      </c>
      <c r="HJ85" s="149">
        <v>1.9E-2</v>
      </c>
      <c r="HK85" s="149">
        <v>1.4E-2</v>
      </c>
      <c r="HL85" s="149">
        <v>5.0000000000000001E-3</v>
      </c>
      <c r="HM85" s="149">
        <v>1.7000000000000001E-2</v>
      </c>
      <c r="HN85" s="149">
        <v>2.5999999999999999E-2</v>
      </c>
      <c r="HO85" s="149">
        <v>1.4999999999999999E-2</v>
      </c>
      <c r="HP85" s="149">
        <v>1.9E-2</v>
      </c>
      <c r="HQ85" s="149">
        <v>0.02</v>
      </c>
      <c r="HR85" s="149">
        <v>3.7999999999999999E-2</v>
      </c>
      <c r="HS85" s="149">
        <v>1.4E-2</v>
      </c>
      <c r="HT85" s="149">
        <v>1.7999999999999999E-2</v>
      </c>
      <c r="HU85" s="149">
        <v>2.1000000000000001E-2</v>
      </c>
      <c r="HV85" s="149">
        <v>1.6E-2</v>
      </c>
      <c r="HW85" s="149">
        <v>2.5000000000000001E-2</v>
      </c>
      <c r="HX85" s="149">
        <v>0.04</v>
      </c>
      <c r="HY85" s="149">
        <v>0.05</v>
      </c>
      <c r="HZ85" s="149">
        <v>4.8000000000000001E-2</v>
      </c>
      <c r="IA85" s="149">
        <v>3.7999999999999999E-2</v>
      </c>
      <c r="IB85" s="149">
        <v>0.04</v>
      </c>
      <c r="IC85" s="149">
        <v>6.4000000000000001E-2</v>
      </c>
      <c r="ID85" s="149">
        <v>4.1000000000000002E-2</v>
      </c>
      <c r="IE85" s="149">
        <v>4.1000000000000002E-2</v>
      </c>
      <c r="IF85" s="149">
        <v>1.7999999999999999E-2</v>
      </c>
      <c r="IG85" s="149">
        <v>2.5000000000000001E-2</v>
      </c>
      <c r="IH85" s="149">
        <v>3.6999999999999998E-2</v>
      </c>
      <c r="II85" s="149">
        <v>0.05</v>
      </c>
      <c r="IJ85" s="149">
        <v>3.6999999999999998E-2</v>
      </c>
      <c r="IK85" s="149">
        <v>3.7999999999999999E-2</v>
      </c>
      <c r="IL85" s="149">
        <v>3.3000000000000002E-2</v>
      </c>
      <c r="IM85" s="149">
        <v>6.9000000000000006E-2</v>
      </c>
      <c r="IN85" s="149">
        <v>4.7E-2</v>
      </c>
      <c r="IO85" s="149">
        <v>3.7999999999999999E-2</v>
      </c>
      <c r="IP85" s="149">
        <v>5.7000000000000002E-2</v>
      </c>
      <c r="IQ85" s="149">
        <v>5.8000000000000003E-2</v>
      </c>
      <c r="IR85" s="149">
        <v>3.5999999999999997E-2</v>
      </c>
      <c r="IS85" s="149">
        <v>8.0000000000000002E-3</v>
      </c>
      <c r="IT85" s="149">
        <v>2.8000000000000001E-2</v>
      </c>
      <c r="IU85" s="149">
        <v>1.4E-2</v>
      </c>
      <c r="IV85" s="149">
        <v>2.1999999999999999E-2</v>
      </c>
      <c r="IW85" s="149">
        <v>2.9000000000000001E-2</v>
      </c>
      <c r="IX85" s="149">
        <v>7.5999999999999998E-2</v>
      </c>
      <c r="IY85" s="149">
        <v>4.2999999999999997E-2</v>
      </c>
      <c r="IZ85" s="149">
        <v>0.06</v>
      </c>
      <c r="JA85" s="149">
        <v>3.4000000000000002E-2</v>
      </c>
      <c r="JB85" s="149">
        <v>3.7999999999999999E-2</v>
      </c>
      <c r="JC85" s="149">
        <v>6.3E-2</v>
      </c>
      <c r="JD85" s="149">
        <v>2.1999999999999999E-2</v>
      </c>
      <c r="JE85" s="149">
        <v>5.8999999999999997E-2</v>
      </c>
      <c r="JF85" s="149">
        <v>1.7999999999999999E-2</v>
      </c>
      <c r="JG85" s="149">
        <v>5.8000000000000003E-2</v>
      </c>
      <c r="JH85" s="149">
        <v>1.9E-2</v>
      </c>
      <c r="JI85" s="149">
        <v>6.3E-2</v>
      </c>
      <c r="JJ85" s="149">
        <v>5.1999999999999998E-2</v>
      </c>
      <c r="JK85" s="149">
        <v>6.0999999999999999E-2</v>
      </c>
      <c r="JL85" s="149">
        <v>0.11</v>
      </c>
      <c r="JM85" s="149">
        <v>0.09</v>
      </c>
      <c r="JN85" s="149">
        <v>7.2999999999999995E-2</v>
      </c>
      <c r="JO85" s="149">
        <v>3.4000000000000002E-2</v>
      </c>
      <c r="JP85" s="149">
        <v>8.9999999999999993E-3</v>
      </c>
      <c r="JQ85" s="149">
        <v>2.1000000000000001E-2</v>
      </c>
      <c r="JR85" s="149">
        <v>1.2E-2</v>
      </c>
      <c r="JS85" s="149">
        <v>3.6999999999999998E-2</v>
      </c>
      <c r="JT85" s="149">
        <v>3.3000000000000002E-2</v>
      </c>
      <c r="JU85" s="149">
        <v>2.8000000000000001E-2</v>
      </c>
      <c r="JV85" s="149">
        <v>5.7000000000000002E-2</v>
      </c>
      <c r="JW85" s="149">
        <v>0.108</v>
      </c>
      <c r="JX85" s="149">
        <v>4.2999999999999997E-2</v>
      </c>
      <c r="JY85" s="149">
        <v>0.05</v>
      </c>
      <c r="JZ85" s="149">
        <v>2.7E-2</v>
      </c>
      <c r="KA85" s="149">
        <v>6.3E-2</v>
      </c>
      <c r="KB85" s="149">
        <v>5.3999999999999999E-2</v>
      </c>
      <c r="KC85" s="149">
        <v>4.4999999999999998E-2</v>
      </c>
      <c r="KD85" s="149">
        <v>4.8000000000000001E-2</v>
      </c>
      <c r="KE85" s="149">
        <v>3.5999999999999997E-2</v>
      </c>
      <c r="KF85" s="149">
        <v>3.3000000000000002E-2</v>
      </c>
      <c r="KG85" s="149">
        <v>7.5999999999999998E-2</v>
      </c>
      <c r="KH85" s="149">
        <v>6.4000000000000001E-2</v>
      </c>
      <c r="KI85" s="149">
        <v>3.9E-2</v>
      </c>
      <c r="KJ85" s="149">
        <v>4.4999999999999998E-2</v>
      </c>
      <c r="KK85" s="149">
        <v>0.04</v>
      </c>
      <c r="KL85" s="149">
        <v>2.4E-2</v>
      </c>
      <c r="KM85" s="149">
        <v>4.2000000000000003E-2</v>
      </c>
      <c r="KN85" s="149">
        <v>2.1000000000000001E-2</v>
      </c>
      <c r="KO85" s="149">
        <v>2.8000000000000001E-2</v>
      </c>
      <c r="KP85" s="149">
        <v>1.6E-2</v>
      </c>
      <c r="KQ85" s="149">
        <v>4.4999999999999998E-2</v>
      </c>
      <c r="KR85" s="149">
        <v>3.7999999999999999E-2</v>
      </c>
      <c r="KS85" s="149">
        <v>3.9E-2</v>
      </c>
      <c r="KT85" s="149">
        <v>4.8000000000000001E-2</v>
      </c>
      <c r="KU85" s="149">
        <v>5.8999999999999997E-2</v>
      </c>
      <c r="KV85" s="149">
        <v>8.3000000000000004E-2</v>
      </c>
      <c r="KW85" s="149">
        <v>4.2000000000000003E-2</v>
      </c>
      <c r="KX85" s="149">
        <v>9.8000000000000004E-2</v>
      </c>
      <c r="KY85" s="149">
        <v>2.1999999999999999E-2</v>
      </c>
      <c r="KZ85" s="149">
        <v>6.4000000000000001E-2</v>
      </c>
      <c r="LA85" s="149">
        <v>2.3E-2</v>
      </c>
      <c r="LB85" s="149">
        <v>5.0999999999999997E-2</v>
      </c>
      <c r="LC85" s="149">
        <v>3.4000000000000002E-2</v>
      </c>
      <c r="LD85" s="149">
        <v>4.2999999999999997E-2</v>
      </c>
      <c r="LE85" s="149">
        <v>6.7000000000000004E-2</v>
      </c>
      <c r="LF85" s="149">
        <v>5.2999999999999999E-2</v>
      </c>
      <c r="LG85" s="149">
        <v>3.4000000000000002E-2</v>
      </c>
      <c r="LH85" s="149">
        <v>2.5999999999999999E-2</v>
      </c>
      <c r="LI85" s="149">
        <v>7.2999999999999995E-2</v>
      </c>
      <c r="LJ85" s="149">
        <v>4.3999999999999997E-2</v>
      </c>
      <c r="LK85" s="149">
        <v>9.2999999999999999E-2</v>
      </c>
      <c r="LL85" s="149">
        <v>2.1999999999999999E-2</v>
      </c>
      <c r="LM85" s="149">
        <v>3.5999999999999997E-2</v>
      </c>
      <c r="LN85" s="149">
        <v>5.0999999999999997E-2</v>
      </c>
      <c r="LO85" s="149">
        <v>5.6000000000000001E-2</v>
      </c>
      <c r="LP85" s="149">
        <v>2.1999999999999999E-2</v>
      </c>
      <c r="LQ85" s="149">
        <v>4.4999999999999998E-2</v>
      </c>
      <c r="LR85" s="149">
        <v>6.8000000000000005E-2</v>
      </c>
      <c r="LS85" s="149">
        <v>5.1999999999999998E-2</v>
      </c>
      <c r="LT85" s="149">
        <v>0.112</v>
      </c>
      <c r="LU85" s="149">
        <v>8.3000000000000004E-2</v>
      </c>
      <c r="LV85" s="149">
        <v>8.1000000000000003E-2</v>
      </c>
      <c r="LW85" s="149">
        <v>0.114</v>
      </c>
      <c r="LX85" s="149">
        <v>6.8000000000000005E-2</v>
      </c>
      <c r="LY85" s="149">
        <v>9.8000000000000004E-2</v>
      </c>
      <c r="LZ85" s="149">
        <v>5.0999999999999997E-2</v>
      </c>
      <c r="MA85" s="149">
        <v>3.2000000000000001E-2</v>
      </c>
      <c r="MB85" s="149">
        <v>5.2999999999999999E-2</v>
      </c>
      <c r="MC85" s="149">
        <v>4.9000000000000002E-2</v>
      </c>
      <c r="MD85" s="149">
        <v>9.1999999999999998E-2</v>
      </c>
      <c r="ME85" s="149">
        <v>8.2000000000000003E-2</v>
      </c>
      <c r="MF85" s="149">
        <v>9.2999999999999999E-2</v>
      </c>
      <c r="MG85" s="145">
        <v>0.10100000000000001</v>
      </c>
      <c r="MH85" s="145">
        <v>0.13300000000000001</v>
      </c>
      <c r="MI85" s="145">
        <v>8.5999999999999993E-2</v>
      </c>
      <c r="MJ85" s="145">
        <v>6.4000000000000001E-2</v>
      </c>
      <c r="MK85" s="145">
        <v>0.106</v>
      </c>
      <c r="ML85" s="145">
        <v>0.112</v>
      </c>
      <c r="MM85" s="145">
        <v>6.0999999999999999E-2</v>
      </c>
      <c r="MN85" s="145">
        <v>9.1999999999999998E-2</v>
      </c>
      <c r="MO85" s="145">
        <v>0.13500000000000001</v>
      </c>
      <c r="MP85" s="145">
        <v>0.13100000000000001</v>
      </c>
      <c r="MQ85" s="145">
        <v>4.4999999999999998E-2</v>
      </c>
      <c r="MR85" s="145">
        <v>7.4999999999999997E-2</v>
      </c>
      <c r="MS85" s="145">
        <v>6.3E-2</v>
      </c>
      <c r="MT85" s="145">
        <v>0.17599999999999999</v>
      </c>
      <c r="MU85" s="145">
        <v>0.13300000000000001</v>
      </c>
      <c r="MV85" s="145">
        <v>0.13</v>
      </c>
      <c r="MW85" s="145">
        <v>0.20499999999999999</v>
      </c>
      <c r="MX85" s="145">
        <v>0.16900000000000001</v>
      </c>
      <c r="MY85" s="145">
        <v>0.33100000000000002</v>
      </c>
      <c r="MZ85" s="145">
        <v>0.252</v>
      </c>
      <c r="NA85" s="145">
        <v>0.30299999999999999</v>
      </c>
      <c r="NB85" s="145">
        <v>0.53800000000000003</v>
      </c>
      <c r="NC85" s="145">
        <v>0.193</v>
      </c>
      <c r="ND85" s="145">
        <v>0.53200000000000003</v>
      </c>
      <c r="NE85" s="145">
        <v>0.52900000000000003</v>
      </c>
      <c r="NF85" s="145">
        <v>0.34599999999999997</v>
      </c>
      <c r="NG85" s="145">
        <v>0.42599999999999999</v>
      </c>
      <c r="NH85" s="145">
        <v>0.46800000000000003</v>
      </c>
      <c r="NI85" s="145">
        <v>0.47</v>
      </c>
      <c r="NJ85" s="145">
        <v>0.52600000000000002</v>
      </c>
      <c r="NK85" s="145">
        <v>0.52600000000000002</v>
      </c>
      <c r="NL85" s="145">
        <v>0.81599999999999995</v>
      </c>
      <c r="NM85" s="145">
        <v>0.88400000000000001</v>
      </c>
      <c r="NN85" s="145">
        <v>1.0409999999999999</v>
      </c>
      <c r="NO85" s="145">
        <v>0.65600000000000003</v>
      </c>
      <c r="NP85" s="145">
        <v>0.48899999999999999</v>
      </c>
      <c r="NQ85" s="145">
        <v>0.29199999999999998</v>
      </c>
      <c r="NR85" s="145">
        <v>0.22900000000000001</v>
      </c>
      <c r="NS85" s="145">
        <v>0.22600000000000001</v>
      </c>
      <c r="NT85" s="145">
        <v>0.16200000000000001</v>
      </c>
      <c r="NU85" s="145">
        <v>0.13900000000000001</v>
      </c>
      <c r="NV85" s="145">
        <v>0.11600000000000001</v>
      </c>
      <c r="NW85" s="145">
        <v>0.248</v>
      </c>
      <c r="NX85" s="145">
        <v>0.13900000000000001</v>
      </c>
      <c r="NY85" s="145">
        <v>0.185</v>
      </c>
      <c r="NZ85" s="145">
        <v>0.217</v>
      </c>
      <c r="OA85" s="145">
        <v>0.20499999999999999</v>
      </c>
      <c r="OB85" s="145">
        <v>0.30099999999999999</v>
      </c>
      <c r="OC85" s="145">
        <v>0.374</v>
      </c>
      <c r="OD85" s="145">
        <v>0.19700000000000001</v>
      </c>
      <c r="OE85" s="145">
        <v>0.315</v>
      </c>
      <c r="OF85" s="145">
        <v>0.193</v>
      </c>
      <c r="OG85" s="145">
        <v>0.19</v>
      </c>
      <c r="OH85" s="145">
        <v>0.185</v>
      </c>
      <c r="OI85" s="145">
        <v>0.13800000000000001</v>
      </c>
      <c r="OJ85" s="145">
        <v>0.11</v>
      </c>
      <c r="OK85" s="145">
        <v>0.17399999999999999</v>
      </c>
      <c r="OL85" s="145">
        <v>0.21099999999999999</v>
      </c>
    </row>
    <row r="86" spans="1:402" s="149" customFormat="1" x14ac:dyDescent="0.35">
      <c r="A86" s="147"/>
      <c r="B86" s="153"/>
      <c r="C86" s="153"/>
      <c r="D86" s="153"/>
      <c r="E86" s="153"/>
      <c r="F86" s="153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6"/>
      <c r="FU86" s="146"/>
      <c r="FV86" s="146"/>
      <c r="FW86" s="146"/>
      <c r="FX86" s="146"/>
      <c r="FY86" s="146"/>
      <c r="FZ86" s="146"/>
      <c r="GA86" s="146"/>
      <c r="GB86" s="146"/>
      <c r="GC86" s="146"/>
      <c r="GD86" s="146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  <c r="GO86" s="146"/>
      <c r="GP86" s="146"/>
      <c r="GQ86" s="146"/>
      <c r="GR86" s="146"/>
      <c r="GS86" s="150"/>
      <c r="GT86" s="154"/>
      <c r="GU86" s="154"/>
      <c r="GV86" s="153"/>
      <c r="GW86" s="153"/>
      <c r="GX86" s="153"/>
      <c r="GY86" s="153"/>
    </row>
    <row r="87" spans="1:402" ht="15" thickBot="1" x14ac:dyDescent="0.4">
      <c r="A87" s="45"/>
      <c r="B87" s="5"/>
      <c r="C87" s="5"/>
      <c r="D87" s="5"/>
      <c r="E87" s="5"/>
      <c r="F87" s="5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5"/>
      <c r="GU87" s="5"/>
      <c r="GV87" s="5"/>
      <c r="GW87" s="5"/>
      <c r="GX87" s="5"/>
      <c r="GY87" s="5"/>
      <c r="GZ87" s="6"/>
      <c r="HA87" s="6"/>
      <c r="HB87" s="6"/>
      <c r="HC87" s="6"/>
      <c r="HD87" s="6"/>
      <c r="HE87" s="6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</row>
    <row r="88" spans="1:402" ht="17.5" x14ac:dyDescent="0.35">
      <c r="A88" s="8" t="s">
        <v>49</v>
      </c>
      <c r="B88" s="47"/>
      <c r="C88" s="47"/>
      <c r="D88" s="47"/>
      <c r="E88" s="47"/>
      <c r="F88" s="47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47"/>
      <c r="GU88" s="47"/>
      <c r="GV88" s="47"/>
      <c r="GW88" s="47"/>
      <c r="GX88" s="47"/>
      <c r="GY88" s="47"/>
      <c r="GZ88" s="38"/>
      <c r="HA88" s="38"/>
      <c r="HB88" s="38"/>
      <c r="HC88" s="38"/>
      <c r="HD88" s="38"/>
      <c r="HE88" s="38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 t="s">
        <v>159</v>
      </c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</row>
    <row r="89" spans="1:402" ht="16" thickBot="1" x14ac:dyDescent="0.4">
      <c r="A89" s="12" t="s">
        <v>47</v>
      </c>
      <c r="GU89" s="12" t="s">
        <v>2</v>
      </c>
    </row>
    <row r="90" spans="1:402" x14ac:dyDescent="0.35">
      <c r="B90" s="13">
        <v>2007</v>
      </c>
      <c r="C90" s="13"/>
      <c r="D90" s="13"/>
      <c r="E90" s="14"/>
      <c r="F90" s="15">
        <v>2008</v>
      </c>
      <c r="G90" s="16"/>
      <c r="H90" s="17"/>
      <c r="I90" s="16"/>
      <c r="J90" s="16"/>
      <c r="K90" s="16"/>
      <c r="L90" s="18"/>
      <c r="M90" s="18"/>
      <c r="N90" s="18"/>
      <c r="O90" s="18"/>
      <c r="P90" s="18"/>
      <c r="Q90" s="18"/>
      <c r="R90" s="19">
        <v>2009</v>
      </c>
      <c r="S90" s="19"/>
      <c r="T90" s="19"/>
      <c r="U90" s="19"/>
      <c r="V90" s="16"/>
      <c r="W90" s="16"/>
      <c r="X90" s="16"/>
      <c r="Y90" s="16"/>
      <c r="Z90" s="16"/>
      <c r="AA90" s="16"/>
      <c r="AB90" s="16"/>
      <c r="AC90" s="16"/>
      <c r="AD90" s="19">
        <v>2010</v>
      </c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>
        <v>2011</v>
      </c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9">
        <v>2012</v>
      </c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9">
        <v>2013</v>
      </c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>
        <v>2014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>
        <v>2015</v>
      </c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9">
        <v>2016</v>
      </c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9">
        <v>2017</v>
      </c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>
        <v>2018</v>
      </c>
      <c r="DW90" s="19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9">
        <v>2019</v>
      </c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9">
        <v>2020</v>
      </c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9">
        <v>2021</v>
      </c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>
        <v>2022</v>
      </c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>
        <v>2023</v>
      </c>
      <c r="GE90" s="19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9">
        <v>2024</v>
      </c>
      <c r="GQ90" s="19"/>
      <c r="GR90" s="183"/>
      <c r="GS90" s="13"/>
      <c r="GV90" s="13">
        <v>2007</v>
      </c>
      <c r="GW90" s="13"/>
      <c r="GX90" s="13"/>
      <c r="GY90" s="14"/>
      <c r="GZ90" s="15">
        <v>2008</v>
      </c>
      <c r="HA90" s="16"/>
      <c r="HB90" s="17"/>
      <c r="HC90" s="16"/>
      <c r="HD90" s="16"/>
      <c r="HE90" s="16"/>
      <c r="HF90" s="18"/>
      <c r="HG90" s="18"/>
      <c r="HH90" s="18"/>
      <c r="HI90" s="18"/>
      <c r="HJ90" s="18"/>
      <c r="HK90" s="18"/>
      <c r="HL90" s="19">
        <v>2009</v>
      </c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>
        <v>2010</v>
      </c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>
        <v>2011</v>
      </c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>
        <v>2012</v>
      </c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>
        <v>2013</v>
      </c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>
        <v>2014</v>
      </c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>
        <v>2015</v>
      </c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>
        <v>2016</v>
      </c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>
        <v>2017</v>
      </c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>
        <v>2018</v>
      </c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>
        <v>2019</v>
      </c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>
        <v>2020</v>
      </c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>
        <v>2021</v>
      </c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>
        <v>2022</v>
      </c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>
        <v>2023</v>
      </c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>
        <v>2024</v>
      </c>
      <c r="OK90" s="19"/>
      <c r="OL90" s="19"/>
    </row>
    <row r="91" spans="1:402" x14ac:dyDescent="0.35">
      <c r="B91" s="20" t="s">
        <v>3</v>
      </c>
      <c r="C91" s="21" t="s">
        <v>4</v>
      </c>
      <c r="D91" s="20" t="s">
        <v>5</v>
      </c>
      <c r="E91" s="20" t="s">
        <v>6</v>
      </c>
      <c r="F91" s="20" t="s">
        <v>7</v>
      </c>
      <c r="G91" s="20" t="s">
        <v>8</v>
      </c>
      <c r="H91" s="20" t="s">
        <v>9</v>
      </c>
      <c r="I91" s="20" t="s">
        <v>10</v>
      </c>
      <c r="J91" s="20" t="s">
        <v>11</v>
      </c>
      <c r="K91" s="20" t="s">
        <v>12</v>
      </c>
      <c r="L91" s="20" t="s">
        <v>13</v>
      </c>
      <c r="M91" s="20" t="s">
        <v>14</v>
      </c>
      <c r="N91" s="20" t="s">
        <v>3</v>
      </c>
      <c r="O91" s="20" t="s">
        <v>4</v>
      </c>
      <c r="P91" s="20" t="s">
        <v>5</v>
      </c>
      <c r="Q91" s="20" t="s">
        <v>15</v>
      </c>
      <c r="R91" s="22" t="s">
        <v>7</v>
      </c>
      <c r="S91" s="22" t="s">
        <v>8</v>
      </c>
      <c r="T91" s="22" t="s">
        <v>9</v>
      </c>
      <c r="U91" s="22" t="s">
        <v>10</v>
      </c>
      <c r="V91" s="22" t="s">
        <v>11</v>
      </c>
      <c r="W91" s="22" t="s">
        <v>12</v>
      </c>
      <c r="X91" s="22" t="s">
        <v>13</v>
      </c>
      <c r="Y91" s="22" t="s">
        <v>14</v>
      </c>
      <c r="Z91" s="22" t="s">
        <v>16</v>
      </c>
      <c r="AA91" s="22" t="s">
        <v>4</v>
      </c>
      <c r="AB91" s="22" t="s">
        <v>5</v>
      </c>
      <c r="AC91" s="22" t="s">
        <v>6</v>
      </c>
      <c r="AD91" s="22" t="s">
        <v>17</v>
      </c>
      <c r="AE91" s="22" t="s">
        <v>8</v>
      </c>
      <c r="AF91" s="22" t="s">
        <v>18</v>
      </c>
      <c r="AG91" s="22" t="s">
        <v>10</v>
      </c>
      <c r="AH91" s="22" t="s">
        <v>11</v>
      </c>
      <c r="AI91" s="22" t="s">
        <v>12</v>
      </c>
      <c r="AJ91" s="22" t="s">
        <v>13</v>
      </c>
      <c r="AK91" s="22" t="s">
        <v>14</v>
      </c>
      <c r="AL91" s="22" t="s">
        <v>16</v>
      </c>
      <c r="AM91" s="22" t="s">
        <v>19</v>
      </c>
      <c r="AN91" s="22" t="s">
        <v>5</v>
      </c>
      <c r="AO91" s="22" t="s">
        <v>6</v>
      </c>
      <c r="AP91" s="22" t="s">
        <v>7</v>
      </c>
      <c r="AQ91" s="22" t="s">
        <v>8</v>
      </c>
      <c r="AR91" s="22" t="s">
        <v>9</v>
      </c>
      <c r="AS91" s="22" t="s">
        <v>10</v>
      </c>
      <c r="AT91" s="22" t="s">
        <v>11</v>
      </c>
      <c r="AU91" s="22" t="s">
        <v>12</v>
      </c>
      <c r="AV91" s="22" t="s">
        <v>13</v>
      </c>
      <c r="AW91" s="22" t="s">
        <v>14</v>
      </c>
      <c r="AX91" s="22" t="s">
        <v>3</v>
      </c>
      <c r="AY91" s="22" t="s">
        <v>4</v>
      </c>
      <c r="AZ91" s="22" t="s">
        <v>5</v>
      </c>
      <c r="BA91" s="22" t="s">
        <v>15</v>
      </c>
      <c r="BB91" s="22" t="s">
        <v>7</v>
      </c>
      <c r="BC91" s="22" t="s">
        <v>8</v>
      </c>
      <c r="BD91" s="22" t="s">
        <v>18</v>
      </c>
      <c r="BE91" s="22" t="s">
        <v>10</v>
      </c>
      <c r="BF91" s="22" t="s">
        <v>11</v>
      </c>
      <c r="BG91" s="22" t="s">
        <v>12</v>
      </c>
      <c r="BH91" s="22" t="s">
        <v>20</v>
      </c>
      <c r="BI91" s="22" t="s">
        <v>21</v>
      </c>
      <c r="BJ91" s="22" t="s">
        <v>16</v>
      </c>
      <c r="BK91" s="22" t="s">
        <v>19</v>
      </c>
      <c r="BL91" s="22" t="s">
        <v>5</v>
      </c>
      <c r="BM91" s="22" t="s">
        <v>15</v>
      </c>
      <c r="BN91" s="22" t="s">
        <v>7</v>
      </c>
      <c r="BO91" s="22" t="s">
        <v>8</v>
      </c>
      <c r="BP91" s="22" t="s">
        <v>9</v>
      </c>
      <c r="BQ91" s="22" t="s">
        <v>10</v>
      </c>
      <c r="BR91" s="22" t="s">
        <v>11</v>
      </c>
      <c r="BS91" s="22" t="s">
        <v>12</v>
      </c>
      <c r="BT91" s="22" t="s">
        <v>20</v>
      </c>
      <c r="BU91" s="22" t="s">
        <v>21</v>
      </c>
      <c r="BV91" s="22" t="s">
        <v>22</v>
      </c>
      <c r="BW91" s="22" t="s">
        <v>4</v>
      </c>
      <c r="BX91" s="22" t="s">
        <v>5</v>
      </c>
      <c r="BY91" s="22" t="s">
        <v>6</v>
      </c>
      <c r="BZ91" s="22" t="s">
        <v>17</v>
      </c>
      <c r="CA91" s="22" t="s">
        <v>23</v>
      </c>
      <c r="CB91" s="22" t="s">
        <v>18</v>
      </c>
      <c r="CC91" s="22" t="s">
        <v>24</v>
      </c>
      <c r="CD91" s="22" t="s">
        <v>11</v>
      </c>
      <c r="CE91" s="22" t="s">
        <v>12</v>
      </c>
      <c r="CF91" s="22" t="s">
        <v>13</v>
      </c>
      <c r="CG91" s="22" t="s">
        <v>14</v>
      </c>
      <c r="CH91" s="22" t="s">
        <v>16</v>
      </c>
      <c r="CI91" s="22" t="s">
        <v>4</v>
      </c>
      <c r="CJ91" s="22" t="s">
        <v>5</v>
      </c>
      <c r="CK91" s="22" t="s">
        <v>6</v>
      </c>
      <c r="CL91" s="22" t="s">
        <v>7</v>
      </c>
      <c r="CM91" s="22" t="s">
        <v>8</v>
      </c>
      <c r="CN91" s="22" t="s">
        <v>18</v>
      </c>
      <c r="CO91" s="22" t="s">
        <v>10</v>
      </c>
      <c r="CP91" s="22" t="s">
        <v>11</v>
      </c>
      <c r="CQ91" s="22" t="s">
        <v>12</v>
      </c>
      <c r="CR91" s="22" t="s">
        <v>20</v>
      </c>
      <c r="CS91" s="22" t="s">
        <v>14</v>
      </c>
      <c r="CT91" s="22" t="s">
        <v>22</v>
      </c>
      <c r="CU91" s="22" t="s">
        <v>19</v>
      </c>
      <c r="CV91" s="22" t="s">
        <v>5</v>
      </c>
      <c r="CW91" s="22" t="s">
        <v>15</v>
      </c>
      <c r="CX91" s="22" t="s">
        <v>7</v>
      </c>
      <c r="CY91" s="22" t="s">
        <v>23</v>
      </c>
      <c r="CZ91" s="22" t="s">
        <v>18</v>
      </c>
      <c r="DA91" s="22" t="s">
        <v>24</v>
      </c>
      <c r="DB91" s="22" t="s">
        <v>11</v>
      </c>
      <c r="DC91" s="22" t="s">
        <v>12</v>
      </c>
      <c r="DD91" s="22" t="s">
        <v>13</v>
      </c>
      <c r="DE91" s="22" t="s">
        <v>14</v>
      </c>
      <c r="DF91" s="22" t="s">
        <v>16</v>
      </c>
      <c r="DG91" s="22" t="s">
        <v>4</v>
      </c>
      <c r="DH91" s="22" t="s">
        <v>5</v>
      </c>
      <c r="DI91" s="22" t="s">
        <v>15</v>
      </c>
      <c r="DJ91" s="22" t="s">
        <v>7</v>
      </c>
      <c r="DK91" s="22" t="s">
        <v>8</v>
      </c>
      <c r="DL91" s="22" t="s">
        <v>18</v>
      </c>
      <c r="DM91" s="22" t="s">
        <v>24</v>
      </c>
      <c r="DN91" s="22" t="s">
        <v>11</v>
      </c>
      <c r="DO91" s="22" t="s">
        <v>12</v>
      </c>
      <c r="DP91" s="22" t="s">
        <v>20</v>
      </c>
      <c r="DQ91" s="22" t="s">
        <v>14</v>
      </c>
      <c r="DR91" s="22" t="s">
        <v>22</v>
      </c>
      <c r="DS91" s="22" t="s">
        <v>19</v>
      </c>
      <c r="DT91" s="22" t="s">
        <v>5</v>
      </c>
      <c r="DU91" s="22" t="s">
        <v>15</v>
      </c>
      <c r="DV91" s="22" t="s">
        <v>7</v>
      </c>
      <c r="DW91" s="22" t="s">
        <v>8</v>
      </c>
      <c r="DX91" s="22" t="s">
        <v>18</v>
      </c>
      <c r="DY91" s="22" t="s">
        <v>24</v>
      </c>
      <c r="DZ91" s="22" t="s">
        <v>11</v>
      </c>
      <c r="EA91" s="22" t="s">
        <v>12</v>
      </c>
      <c r="EB91" s="22" t="s">
        <v>20</v>
      </c>
      <c r="EC91" s="22" t="s">
        <v>21</v>
      </c>
      <c r="ED91" s="22" t="s">
        <v>22</v>
      </c>
      <c r="EE91" s="22" t="s">
        <v>4</v>
      </c>
      <c r="EF91" s="22" t="s">
        <v>5</v>
      </c>
      <c r="EG91" s="22" t="s">
        <v>15</v>
      </c>
      <c r="EH91" s="22" t="s">
        <v>17</v>
      </c>
      <c r="EI91" s="22" t="s">
        <v>23</v>
      </c>
      <c r="EJ91" s="22" t="s">
        <v>18</v>
      </c>
      <c r="EK91" s="22" t="s">
        <v>24</v>
      </c>
      <c r="EL91" s="22" t="s">
        <v>11</v>
      </c>
      <c r="EM91" s="22" t="s">
        <v>12</v>
      </c>
      <c r="EN91" s="22" t="s">
        <v>20</v>
      </c>
      <c r="EO91" s="22" t="s">
        <v>21</v>
      </c>
      <c r="EP91" s="22" t="s">
        <v>22</v>
      </c>
      <c r="EQ91" s="22" t="s">
        <v>4</v>
      </c>
      <c r="ER91" s="22" t="s">
        <v>5</v>
      </c>
      <c r="ES91" s="22" t="s">
        <v>6</v>
      </c>
      <c r="ET91" s="22" t="s">
        <v>17</v>
      </c>
      <c r="EU91" s="22" t="s">
        <v>8</v>
      </c>
      <c r="EV91" s="22" t="s">
        <v>18</v>
      </c>
      <c r="EW91" s="22" t="s">
        <v>24</v>
      </c>
      <c r="EX91" s="22" t="s">
        <v>11</v>
      </c>
      <c r="EY91" s="22" t="s">
        <v>12</v>
      </c>
      <c r="EZ91" s="22" t="s">
        <v>20</v>
      </c>
      <c r="FA91" s="22" t="s">
        <v>14</v>
      </c>
      <c r="FB91" s="22" t="s">
        <v>22</v>
      </c>
      <c r="FC91" s="22" t="s">
        <v>4</v>
      </c>
      <c r="FD91" s="22" t="s">
        <v>5</v>
      </c>
      <c r="FE91" s="22" t="s">
        <v>6</v>
      </c>
      <c r="FF91" s="22" t="s">
        <v>7</v>
      </c>
      <c r="FG91" s="22" t="s">
        <v>8</v>
      </c>
      <c r="FH91" s="22" t="s">
        <v>9</v>
      </c>
      <c r="FI91" s="22" t="s">
        <v>24</v>
      </c>
      <c r="FJ91" s="22" t="s">
        <v>11</v>
      </c>
      <c r="FK91" s="22" t="s">
        <v>12</v>
      </c>
      <c r="FL91" s="22" t="s">
        <v>20</v>
      </c>
      <c r="FM91" s="22" t="s">
        <v>14</v>
      </c>
      <c r="FN91" s="22" t="s">
        <v>22</v>
      </c>
      <c r="FO91" s="22" t="s">
        <v>19</v>
      </c>
      <c r="FP91" s="22" t="s">
        <v>27</v>
      </c>
      <c r="FQ91" s="22" t="s">
        <v>15</v>
      </c>
      <c r="FR91" s="22" t="s">
        <v>7</v>
      </c>
      <c r="FS91" s="22" t="s">
        <v>8</v>
      </c>
      <c r="FT91" s="22" t="s">
        <v>9</v>
      </c>
      <c r="FU91" s="22" t="s">
        <v>10</v>
      </c>
      <c r="FV91" s="22" t="s">
        <v>11</v>
      </c>
      <c r="FW91" s="22" t="s">
        <v>12</v>
      </c>
      <c r="FX91" s="22" t="s">
        <v>13</v>
      </c>
      <c r="FY91" s="22" t="s">
        <v>14</v>
      </c>
      <c r="FZ91" s="22" t="s">
        <v>16</v>
      </c>
      <c r="GA91" s="22" t="s">
        <v>19</v>
      </c>
      <c r="GB91" s="22" t="s">
        <v>5</v>
      </c>
      <c r="GC91" s="22" t="s">
        <v>6</v>
      </c>
      <c r="GD91" s="22" t="s">
        <v>7</v>
      </c>
      <c r="GE91" s="22" t="s">
        <v>8</v>
      </c>
      <c r="GF91" s="22" t="s">
        <v>18</v>
      </c>
      <c r="GG91" s="22" t="s">
        <v>24</v>
      </c>
      <c r="GH91" s="22" t="s">
        <v>11</v>
      </c>
      <c r="GI91" s="22" t="s">
        <v>12</v>
      </c>
      <c r="GJ91" s="22" t="s">
        <v>13</v>
      </c>
      <c r="GK91" s="22" t="s">
        <v>14</v>
      </c>
      <c r="GL91" s="22" t="s">
        <v>22</v>
      </c>
      <c r="GM91" s="22" t="s">
        <v>4</v>
      </c>
      <c r="GN91" s="22" t="s">
        <v>5</v>
      </c>
      <c r="GO91" s="22" t="s">
        <v>6</v>
      </c>
      <c r="GP91" s="22" t="s">
        <v>7</v>
      </c>
      <c r="GQ91" s="22" t="s">
        <v>8</v>
      </c>
      <c r="GR91" s="22" t="s">
        <v>18</v>
      </c>
      <c r="GS91" s="22" t="s">
        <v>25</v>
      </c>
      <c r="GT91" s="2"/>
      <c r="GU91" s="2"/>
      <c r="GV91" s="20" t="s">
        <v>3</v>
      </c>
      <c r="GW91" s="21" t="s">
        <v>4</v>
      </c>
      <c r="GX91" s="20" t="s">
        <v>5</v>
      </c>
      <c r="GY91" s="20" t="s">
        <v>6</v>
      </c>
      <c r="GZ91" s="20" t="s">
        <v>7</v>
      </c>
      <c r="HA91" s="20" t="s">
        <v>8</v>
      </c>
      <c r="HB91" s="20" t="s">
        <v>9</v>
      </c>
      <c r="HC91" s="20" t="s">
        <v>10</v>
      </c>
      <c r="HD91" s="20" t="s">
        <v>11</v>
      </c>
      <c r="HE91" s="20" t="s">
        <v>12</v>
      </c>
      <c r="HF91" s="20" t="s">
        <v>13</v>
      </c>
      <c r="HG91" s="20" t="s">
        <v>14</v>
      </c>
      <c r="HH91" s="20" t="s">
        <v>3</v>
      </c>
      <c r="HI91" s="20" t="s">
        <v>4</v>
      </c>
      <c r="HJ91" s="20" t="s">
        <v>5</v>
      </c>
      <c r="HK91" s="20" t="s">
        <v>15</v>
      </c>
      <c r="HL91" s="22" t="s">
        <v>7</v>
      </c>
      <c r="HM91" s="22" t="s">
        <v>8</v>
      </c>
      <c r="HN91" s="22" t="s">
        <v>9</v>
      </c>
      <c r="HO91" s="22" t="s">
        <v>10</v>
      </c>
      <c r="HP91" s="22" t="s">
        <v>11</v>
      </c>
      <c r="HQ91" s="22" t="s">
        <v>12</v>
      </c>
      <c r="HR91" s="22" t="s">
        <v>13</v>
      </c>
      <c r="HS91" s="22" t="s">
        <v>14</v>
      </c>
      <c r="HT91" s="22" t="s">
        <v>16</v>
      </c>
      <c r="HU91" s="22" t="s">
        <v>4</v>
      </c>
      <c r="HV91" s="22" t="s">
        <v>5</v>
      </c>
      <c r="HW91" s="22" t="s">
        <v>6</v>
      </c>
      <c r="HX91" s="22" t="s">
        <v>17</v>
      </c>
      <c r="HY91" s="22" t="s">
        <v>8</v>
      </c>
      <c r="HZ91" s="22" t="s">
        <v>18</v>
      </c>
      <c r="IA91" s="22" t="s">
        <v>10</v>
      </c>
      <c r="IB91" s="22" t="s">
        <v>11</v>
      </c>
      <c r="IC91" s="22" t="s">
        <v>12</v>
      </c>
      <c r="ID91" s="22" t="s">
        <v>13</v>
      </c>
      <c r="IE91" s="22" t="s">
        <v>26</v>
      </c>
      <c r="IF91" s="22" t="s">
        <v>16</v>
      </c>
      <c r="IG91" s="22" t="s">
        <v>4</v>
      </c>
      <c r="IH91" s="22" t="s">
        <v>5</v>
      </c>
      <c r="II91" s="22" t="s">
        <v>6</v>
      </c>
      <c r="IJ91" s="22" t="s">
        <v>7</v>
      </c>
      <c r="IK91" s="22" t="s">
        <v>8</v>
      </c>
      <c r="IL91" s="22" t="s">
        <v>18</v>
      </c>
      <c r="IM91" s="22" t="s">
        <v>10</v>
      </c>
      <c r="IN91" s="22" t="s">
        <v>11</v>
      </c>
      <c r="IO91" s="22" t="s">
        <v>12</v>
      </c>
      <c r="IP91" s="22" t="s">
        <v>13</v>
      </c>
      <c r="IQ91" s="22" t="s">
        <v>14</v>
      </c>
      <c r="IR91" s="22" t="s">
        <v>3</v>
      </c>
      <c r="IS91" s="22" t="s">
        <v>4</v>
      </c>
      <c r="IT91" s="22" t="s">
        <v>5</v>
      </c>
      <c r="IU91" s="22" t="s">
        <v>15</v>
      </c>
      <c r="IV91" s="22" t="s">
        <v>7</v>
      </c>
      <c r="IW91" s="22" t="s">
        <v>8</v>
      </c>
      <c r="IX91" s="22" t="s">
        <v>18</v>
      </c>
      <c r="IY91" s="22" t="s">
        <v>10</v>
      </c>
      <c r="IZ91" s="22" t="s">
        <v>11</v>
      </c>
      <c r="JA91" s="22" t="s">
        <v>12</v>
      </c>
      <c r="JB91" s="22" t="s">
        <v>20</v>
      </c>
      <c r="JC91" s="22" t="s">
        <v>21</v>
      </c>
      <c r="JD91" s="22" t="s">
        <v>16</v>
      </c>
      <c r="JE91" s="22" t="s">
        <v>4</v>
      </c>
      <c r="JF91" s="22" t="s">
        <v>5</v>
      </c>
      <c r="JG91" s="22" t="s">
        <v>6</v>
      </c>
      <c r="JH91" s="22" t="s">
        <v>7</v>
      </c>
      <c r="JI91" s="22" t="s">
        <v>8</v>
      </c>
      <c r="JJ91" s="22" t="s">
        <v>9</v>
      </c>
      <c r="JK91" s="22" t="s">
        <v>10</v>
      </c>
      <c r="JL91" s="22" t="s">
        <v>11</v>
      </c>
      <c r="JM91" s="22" t="s">
        <v>12</v>
      </c>
      <c r="JN91" s="22" t="s">
        <v>20</v>
      </c>
      <c r="JO91" s="22" t="s">
        <v>21</v>
      </c>
      <c r="JP91" s="22" t="s">
        <v>22</v>
      </c>
      <c r="JQ91" s="22" t="s">
        <v>4</v>
      </c>
      <c r="JR91" s="22" t="s">
        <v>5</v>
      </c>
      <c r="JS91" s="22" t="s">
        <v>6</v>
      </c>
      <c r="JT91" s="22" t="s">
        <v>17</v>
      </c>
      <c r="JU91" s="22" t="s">
        <v>23</v>
      </c>
      <c r="JV91" s="22" t="s">
        <v>18</v>
      </c>
      <c r="JW91" s="22" t="s">
        <v>24</v>
      </c>
      <c r="JX91" s="22" t="s">
        <v>11</v>
      </c>
      <c r="JY91" s="22" t="s">
        <v>12</v>
      </c>
      <c r="JZ91" s="22" t="s">
        <v>13</v>
      </c>
      <c r="KA91" s="22" t="s">
        <v>14</v>
      </c>
      <c r="KB91" s="22" t="s">
        <v>22</v>
      </c>
      <c r="KC91" s="22" t="s">
        <v>4</v>
      </c>
      <c r="KD91" s="22" t="s">
        <v>5</v>
      </c>
      <c r="KE91" s="22" t="s">
        <v>6</v>
      </c>
      <c r="KF91" s="22" t="s">
        <v>17</v>
      </c>
      <c r="KG91" s="22" t="s">
        <v>8</v>
      </c>
      <c r="KH91" s="22" t="s">
        <v>18</v>
      </c>
      <c r="KI91" s="22" t="s">
        <v>10</v>
      </c>
      <c r="KJ91" s="22" t="s">
        <v>11</v>
      </c>
      <c r="KK91" s="22" t="s">
        <v>12</v>
      </c>
      <c r="KL91" s="22" t="s">
        <v>20</v>
      </c>
      <c r="KM91" s="22" t="s">
        <v>21</v>
      </c>
      <c r="KN91" s="22" t="s">
        <v>16</v>
      </c>
      <c r="KO91" s="22" t="s">
        <v>19</v>
      </c>
      <c r="KP91" s="22" t="s">
        <v>5</v>
      </c>
      <c r="KQ91" s="22" t="s">
        <v>6</v>
      </c>
      <c r="KR91" s="22" t="s">
        <v>7</v>
      </c>
      <c r="KS91" s="22" t="s">
        <v>8</v>
      </c>
      <c r="KT91" s="22" t="s">
        <v>18</v>
      </c>
      <c r="KU91" s="22" t="s">
        <v>24</v>
      </c>
      <c r="KV91" s="22" t="s">
        <v>11</v>
      </c>
      <c r="KW91" s="22" t="s">
        <v>12</v>
      </c>
      <c r="KX91" s="22" t="s">
        <v>20</v>
      </c>
      <c r="KY91" s="22" t="s">
        <v>14</v>
      </c>
      <c r="KZ91" s="22" t="s">
        <v>16</v>
      </c>
      <c r="LA91" s="22" t="s">
        <v>4</v>
      </c>
      <c r="LB91" s="22" t="s">
        <v>27</v>
      </c>
      <c r="LC91" s="22" t="s">
        <v>6</v>
      </c>
      <c r="LD91" s="22" t="s">
        <v>7</v>
      </c>
      <c r="LE91" s="22" t="s">
        <v>8</v>
      </c>
      <c r="LF91" s="22" t="s">
        <v>9</v>
      </c>
      <c r="LG91" s="22" t="s">
        <v>24</v>
      </c>
      <c r="LH91" s="22" t="s">
        <v>11</v>
      </c>
      <c r="LI91" s="22" t="s">
        <v>12</v>
      </c>
      <c r="LJ91" s="22" t="s">
        <v>20</v>
      </c>
      <c r="LK91" s="22" t="s">
        <v>14</v>
      </c>
      <c r="LL91" s="22" t="s">
        <v>22</v>
      </c>
      <c r="LM91" s="22" t="s">
        <v>19</v>
      </c>
      <c r="LN91" s="22" t="s">
        <v>5</v>
      </c>
      <c r="LO91" s="22" t="s">
        <v>15</v>
      </c>
      <c r="LP91" s="22" t="s">
        <v>7</v>
      </c>
      <c r="LQ91" s="22" t="s">
        <v>8</v>
      </c>
      <c r="LR91" s="22" t="s">
        <v>18</v>
      </c>
      <c r="LS91" s="22" t="s">
        <v>10</v>
      </c>
      <c r="LT91" s="22" t="s">
        <v>11</v>
      </c>
      <c r="LU91" s="22" t="s">
        <v>12</v>
      </c>
      <c r="LV91" s="22" t="s">
        <v>13</v>
      </c>
      <c r="LW91" s="22" t="s">
        <v>14</v>
      </c>
      <c r="LX91" s="22" t="s">
        <v>22</v>
      </c>
      <c r="LY91" s="22" t="s">
        <v>4</v>
      </c>
      <c r="LZ91" s="22" t="s">
        <v>5</v>
      </c>
      <c r="MA91" s="22" t="s">
        <v>6</v>
      </c>
      <c r="MB91" s="22" t="s">
        <v>17</v>
      </c>
      <c r="MC91" s="22" t="s">
        <v>8</v>
      </c>
      <c r="MD91" s="22" t="s">
        <v>18</v>
      </c>
      <c r="ME91" s="22" t="s">
        <v>24</v>
      </c>
      <c r="MF91" s="22" t="s">
        <v>11</v>
      </c>
      <c r="MG91" s="22" t="s">
        <v>101</v>
      </c>
      <c r="MH91" s="22" t="s">
        <v>20</v>
      </c>
      <c r="MI91" s="22" t="s">
        <v>14</v>
      </c>
      <c r="MJ91" s="22" t="s">
        <v>22</v>
      </c>
      <c r="MK91" s="22" t="s">
        <v>4</v>
      </c>
      <c r="ML91" s="22" t="s">
        <v>5</v>
      </c>
      <c r="MM91" s="22" t="s">
        <v>6</v>
      </c>
      <c r="MN91" s="22" t="s">
        <v>17</v>
      </c>
      <c r="MO91" s="22" t="s">
        <v>8</v>
      </c>
      <c r="MP91" s="22" t="s">
        <v>18</v>
      </c>
      <c r="MQ91" s="22" t="s">
        <v>24</v>
      </c>
      <c r="MR91" s="22" t="s">
        <v>11</v>
      </c>
      <c r="MS91" s="22" t="s">
        <v>12</v>
      </c>
      <c r="MT91" s="22" t="s">
        <v>20</v>
      </c>
      <c r="MU91" s="22" t="s">
        <v>14</v>
      </c>
      <c r="MV91" s="22" t="s">
        <v>22</v>
      </c>
      <c r="MW91" s="22" t="s">
        <v>4</v>
      </c>
      <c r="MX91" s="22" t="s">
        <v>5</v>
      </c>
      <c r="MY91" s="22" t="s">
        <v>6</v>
      </c>
      <c r="MZ91" s="22" t="s">
        <v>7</v>
      </c>
      <c r="NA91" s="22" t="s">
        <v>8</v>
      </c>
      <c r="NB91" s="22" t="s">
        <v>18</v>
      </c>
      <c r="NC91" s="22" t="s">
        <v>24</v>
      </c>
      <c r="ND91" s="22" t="s">
        <v>11</v>
      </c>
      <c r="NE91" s="22" t="s">
        <v>12</v>
      </c>
      <c r="NF91" s="22" t="s">
        <v>20</v>
      </c>
      <c r="NG91" s="22" t="s">
        <v>14</v>
      </c>
      <c r="NH91" s="22" t="s">
        <v>22</v>
      </c>
      <c r="NI91" s="22" t="s">
        <v>19</v>
      </c>
      <c r="NJ91" s="22" t="s">
        <v>27</v>
      </c>
      <c r="NK91" s="22" t="s">
        <v>6</v>
      </c>
      <c r="NL91" s="22" t="s">
        <v>7</v>
      </c>
      <c r="NM91" s="22" t="s">
        <v>8</v>
      </c>
      <c r="NN91" s="22" t="s">
        <v>9</v>
      </c>
      <c r="NO91" s="22" t="s">
        <v>10</v>
      </c>
      <c r="NP91" s="22" t="s">
        <v>11</v>
      </c>
      <c r="NQ91" s="22" t="s">
        <v>12</v>
      </c>
      <c r="NR91" s="22" t="s">
        <v>20</v>
      </c>
      <c r="NS91" s="22" t="s">
        <v>14</v>
      </c>
      <c r="NT91" s="22" t="s">
        <v>16</v>
      </c>
      <c r="NU91" s="22" t="s">
        <v>19</v>
      </c>
      <c r="NV91" s="22" t="s">
        <v>5</v>
      </c>
      <c r="NW91" s="22" t="s">
        <v>6</v>
      </c>
      <c r="NX91" s="22" t="s">
        <v>7</v>
      </c>
      <c r="NY91" s="22" t="s">
        <v>8</v>
      </c>
      <c r="NZ91" s="22" t="s">
        <v>18</v>
      </c>
      <c r="OA91" s="22" t="s">
        <v>24</v>
      </c>
      <c r="OB91" s="22" t="s">
        <v>11</v>
      </c>
      <c r="OC91" s="22" t="s">
        <v>12</v>
      </c>
      <c r="OD91" s="22" t="s">
        <v>13</v>
      </c>
      <c r="OE91" s="22" t="s">
        <v>14</v>
      </c>
      <c r="OF91" s="22" t="s">
        <v>16</v>
      </c>
      <c r="OG91" s="22" t="s">
        <v>4</v>
      </c>
      <c r="OH91" s="22" t="s">
        <v>5</v>
      </c>
      <c r="OI91" s="22" t="s">
        <v>15</v>
      </c>
      <c r="OJ91" s="22" t="s">
        <v>7</v>
      </c>
      <c r="OK91" s="22" t="s">
        <v>8</v>
      </c>
      <c r="OL91" s="22" t="s">
        <v>18</v>
      </c>
    </row>
    <row r="92" spans="1:402" s="145" customFormat="1" ht="19.5" customHeight="1" x14ac:dyDescent="0.35">
      <c r="A92" s="12" t="s">
        <v>29</v>
      </c>
      <c r="B92" s="156">
        <v>246</v>
      </c>
      <c r="C92" s="156">
        <v>261</v>
      </c>
      <c r="D92" s="156">
        <v>291</v>
      </c>
      <c r="E92" s="156">
        <v>300</v>
      </c>
      <c r="F92" s="156">
        <f>'[1]Jan 08'!C37</f>
        <v>330</v>
      </c>
      <c r="G92" s="143">
        <f>'[1]Feb 08'!C37</f>
        <v>341</v>
      </c>
      <c r="H92" s="143">
        <f>'[1]Mar 08'!C37</f>
        <v>331</v>
      </c>
      <c r="I92" s="143">
        <v>323</v>
      </c>
      <c r="J92" s="143">
        <f>'[1]May 08'!C37</f>
        <v>323</v>
      </c>
      <c r="K92" s="143">
        <f>'[1]Jun 08'!C37</f>
        <v>297</v>
      </c>
      <c r="L92" s="143">
        <f>'[1]Jul 08'!C37</f>
        <v>277</v>
      </c>
      <c r="M92" s="143">
        <f>'[1]Aug 08'!C37</f>
        <v>263</v>
      </c>
      <c r="N92" s="143">
        <v>268</v>
      </c>
      <c r="O92" s="143">
        <v>286</v>
      </c>
      <c r="P92" s="143">
        <v>287</v>
      </c>
      <c r="Q92" s="143">
        <v>283</v>
      </c>
      <c r="R92" s="143">
        <v>279</v>
      </c>
      <c r="S92" s="143">
        <v>270</v>
      </c>
      <c r="T92" s="143">
        <v>252</v>
      </c>
      <c r="U92" s="143">
        <v>231</v>
      </c>
      <c r="V92" s="143">
        <v>203</v>
      </c>
      <c r="W92" s="143">
        <v>178</v>
      </c>
      <c r="X92" s="143">
        <v>156</v>
      </c>
      <c r="Y92" s="143">
        <v>149</v>
      </c>
      <c r="Z92" s="143">
        <v>155</v>
      </c>
      <c r="AA92" s="143">
        <v>157</v>
      </c>
      <c r="AB92" s="143">
        <v>155</v>
      </c>
      <c r="AC92" s="143">
        <v>143</v>
      </c>
      <c r="AD92" s="143">
        <v>146</v>
      </c>
      <c r="AE92" s="143">
        <v>145</v>
      </c>
      <c r="AF92" s="143">
        <v>134</v>
      </c>
      <c r="AG92" s="143">
        <v>130</v>
      </c>
      <c r="AH92" s="143">
        <v>132</v>
      </c>
      <c r="AI92" s="143">
        <v>125</v>
      </c>
      <c r="AJ92" s="143">
        <v>115</v>
      </c>
      <c r="AK92" s="143">
        <v>104</v>
      </c>
      <c r="AL92" s="143">
        <v>105</v>
      </c>
      <c r="AM92" s="143">
        <v>109</v>
      </c>
      <c r="AN92" s="143">
        <v>114</v>
      </c>
      <c r="AO92" s="143">
        <v>110</v>
      </c>
      <c r="AP92" s="143">
        <v>116</v>
      </c>
      <c r="AQ92" s="143">
        <v>112</v>
      </c>
      <c r="AR92" s="143">
        <v>105</v>
      </c>
      <c r="AS92" s="143">
        <v>106</v>
      </c>
      <c r="AT92" s="143">
        <v>98</v>
      </c>
      <c r="AU92" s="143">
        <v>92</v>
      </c>
      <c r="AV92" s="143">
        <v>88</v>
      </c>
      <c r="AW92" s="143">
        <v>88</v>
      </c>
      <c r="AX92" s="143">
        <v>91</v>
      </c>
      <c r="AY92" s="143">
        <v>95</v>
      </c>
      <c r="AZ92" s="143">
        <v>93</v>
      </c>
      <c r="BA92" s="143">
        <v>89</v>
      </c>
      <c r="BB92" s="143">
        <v>101</v>
      </c>
      <c r="BC92" s="143">
        <v>102</v>
      </c>
      <c r="BD92" s="143">
        <v>97</v>
      </c>
      <c r="BE92" s="143">
        <v>93</v>
      </c>
      <c r="BF92" s="143">
        <v>84</v>
      </c>
      <c r="BG92" s="143">
        <v>79</v>
      </c>
      <c r="BH92" s="143">
        <v>79</v>
      </c>
      <c r="BI92" s="143">
        <v>76</v>
      </c>
      <c r="BJ92" s="143">
        <v>85</v>
      </c>
      <c r="BK92" s="143">
        <v>93</v>
      </c>
      <c r="BL92" s="143">
        <v>104</v>
      </c>
      <c r="BM92" s="143">
        <v>105</v>
      </c>
      <c r="BN92" s="143">
        <v>111</v>
      </c>
      <c r="BO92" s="143">
        <v>120</v>
      </c>
      <c r="BP92" s="143">
        <v>119</v>
      </c>
      <c r="BQ92" s="143">
        <v>116</v>
      </c>
      <c r="BR92" s="143">
        <v>105</v>
      </c>
      <c r="BS92" s="143">
        <v>89</v>
      </c>
      <c r="BT92" s="143">
        <v>84</v>
      </c>
      <c r="BU92" s="143">
        <v>88</v>
      </c>
      <c r="BV92" s="143">
        <v>97</v>
      </c>
      <c r="BW92" s="143">
        <v>119</v>
      </c>
      <c r="BX92" s="143">
        <v>127</v>
      </c>
      <c r="BY92" s="143">
        <v>131</v>
      </c>
      <c r="BZ92" s="143">
        <v>139</v>
      </c>
      <c r="CA92" s="143">
        <v>141</v>
      </c>
      <c r="CB92" s="143">
        <v>142</v>
      </c>
      <c r="CC92" s="143">
        <v>140</v>
      </c>
      <c r="CD92" s="143">
        <v>131</v>
      </c>
      <c r="CE92" s="143">
        <v>109</v>
      </c>
      <c r="CF92" s="143">
        <v>99</v>
      </c>
      <c r="CG92" s="143">
        <v>101</v>
      </c>
      <c r="CH92" s="143">
        <v>108</v>
      </c>
      <c r="CI92" s="143">
        <v>125</v>
      </c>
      <c r="CJ92" s="143">
        <v>137</v>
      </c>
      <c r="CK92" s="143">
        <v>139</v>
      </c>
      <c r="CL92" s="143">
        <v>148</v>
      </c>
      <c r="CM92" s="143">
        <v>161</v>
      </c>
      <c r="CN92" s="143">
        <v>155</v>
      </c>
      <c r="CO92" s="143">
        <v>145</v>
      </c>
      <c r="CP92" s="143">
        <v>129</v>
      </c>
      <c r="CQ92" s="143">
        <v>105</v>
      </c>
      <c r="CR92" s="143">
        <v>101</v>
      </c>
      <c r="CS92" s="143">
        <v>105</v>
      </c>
      <c r="CT92" s="143">
        <v>112</v>
      </c>
      <c r="CU92" s="143">
        <v>134</v>
      </c>
      <c r="CV92" s="143">
        <v>131</v>
      </c>
      <c r="CW92" s="143">
        <v>134</v>
      </c>
      <c r="CX92" s="143">
        <v>154</v>
      </c>
      <c r="CY92" s="143">
        <v>163</v>
      </c>
      <c r="CZ92" s="143">
        <v>163</v>
      </c>
      <c r="DA92" s="143">
        <v>159</v>
      </c>
      <c r="DB92" s="143">
        <v>148</v>
      </c>
      <c r="DC92" s="143">
        <v>123</v>
      </c>
      <c r="DD92" s="143">
        <v>109</v>
      </c>
      <c r="DE92" s="143">
        <v>108</v>
      </c>
      <c r="DF92" s="143">
        <v>123</v>
      </c>
      <c r="DG92" s="143">
        <v>137</v>
      </c>
      <c r="DH92" s="143">
        <v>147</v>
      </c>
      <c r="DI92" s="143">
        <v>159</v>
      </c>
      <c r="DJ92" s="143">
        <v>168</v>
      </c>
      <c r="DK92" s="143">
        <v>176</v>
      </c>
      <c r="DL92" s="143">
        <v>158</v>
      </c>
      <c r="DM92" s="143">
        <v>146</v>
      </c>
      <c r="DN92" s="143">
        <v>133</v>
      </c>
      <c r="DO92" s="143">
        <v>110</v>
      </c>
      <c r="DP92" s="143">
        <v>100</v>
      </c>
      <c r="DQ92" s="143">
        <v>101</v>
      </c>
      <c r="DR92" s="143">
        <v>116</v>
      </c>
      <c r="DS92" s="143">
        <v>133</v>
      </c>
      <c r="DT92" s="143">
        <v>137</v>
      </c>
      <c r="DU92" s="143">
        <v>141</v>
      </c>
      <c r="DV92" s="143">
        <v>158</v>
      </c>
      <c r="DW92" s="143">
        <v>156</v>
      </c>
      <c r="DX92" s="143">
        <v>154</v>
      </c>
      <c r="DY92" s="143">
        <v>149</v>
      </c>
      <c r="DZ92" s="143">
        <v>132</v>
      </c>
      <c r="EA92" s="143">
        <v>109</v>
      </c>
      <c r="EB92" s="143">
        <v>99</v>
      </c>
      <c r="EC92" s="143">
        <v>93</v>
      </c>
      <c r="ED92" s="143">
        <v>110</v>
      </c>
      <c r="EE92" s="143">
        <v>127</v>
      </c>
      <c r="EF92" s="143">
        <v>143</v>
      </c>
      <c r="EG92" s="143">
        <v>150</v>
      </c>
      <c r="EH92" s="143">
        <v>156</v>
      </c>
      <c r="EI92" s="143">
        <v>159</v>
      </c>
      <c r="EJ92" s="143">
        <v>167</v>
      </c>
      <c r="EK92" s="143">
        <v>159</v>
      </c>
      <c r="EL92" s="143">
        <v>146</v>
      </c>
      <c r="EM92" s="143">
        <v>128</v>
      </c>
      <c r="EN92" s="143">
        <v>113</v>
      </c>
      <c r="EO92" s="143">
        <v>113</v>
      </c>
      <c r="EP92" s="143">
        <v>123</v>
      </c>
      <c r="EQ92" s="143">
        <v>143</v>
      </c>
      <c r="ER92" s="143">
        <v>150</v>
      </c>
      <c r="ES92" s="143">
        <v>150</v>
      </c>
      <c r="ET92" s="143">
        <v>159</v>
      </c>
      <c r="EU92" s="143">
        <v>161</v>
      </c>
      <c r="EV92" s="143">
        <v>146</v>
      </c>
      <c r="EW92" s="143">
        <v>137</v>
      </c>
      <c r="EX92" s="143">
        <v>136</v>
      </c>
      <c r="EY92" s="143">
        <v>130</v>
      </c>
      <c r="EZ92" s="143">
        <v>109</v>
      </c>
      <c r="FA92" s="143">
        <v>106</v>
      </c>
      <c r="FB92" s="143">
        <v>126</v>
      </c>
      <c r="FC92" s="143">
        <v>126</v>
      </c>
      <c r="FD92" s="143">
        <v>126</v>
      </c>
      <c r="FE92" s="143">
        <v>109</v>
      </c>
      <c r="FF92" s="143">
        <v>107</v>
      </c>
      <c r="FG92" s="143">
        <v>106</v>
      </c>
      <c r="FH92" s="143">
        <v>114</v>
      </c>
      <c r="FI92" s="143">
        <v>119</v>
      </c>
      <c r="FJ92" s="143">
        <v>116</v>
      </c>
      <c r="FK92" s="143">
        <v>105</v>
      </c>
      <c r="FL92" s="143">
        <v>100</v>
      </c>
      <c r="FM92" s="143">
        <v>96</v>
      </c>
      <c r="FN92" s="143">
        <v>105</v>
      </c>
      <c r="FO92" s="143">
        <v>108</v>
      </c>
      <c r="FP92" s="143">
        <v>103</v>
      </c>
      <c r="FQ92" s="143">
        <v>100</v>
      </c>
      <c r="FR92" s="143">
        <v>107</v>
      </c>
      <c r="FS92" s="143">
        <v>115</v>
      </c>
      <c r="FT92" s="143">
        <v>107</v>
      </c>
      <c r="FU92" s="143">
        <v>120</v>
      </c>
      <c r="FV92" s="143">
        <v>130</v>
      </c>
      <c r="FW92" s="143">
        <v>164</v>
      </c>
      <c r="FX92" s="143">
        <v>157</v>
      </c>
      <c r="FY92" s="143">
        <v>154</v>
      </c>
      <c r="FZ92" s="143">
        <v>162</v>
      </c>
      <c r="GA92" s="143">
        <v>187</v>
      </c>
      <c r="GB92" s="143">
        <v>182</v>
      </c>
      <c r="GC92" s="143">
        <v>170</v>
      </c>
      <c r="GD92" s="143">
        <v>206</v>
      </c>
      <c r="GE92" s="143">
        <v>216</v>
      </c>
      <c r="GF92" s="143">
        <v>209</v>
      </c>
      <c r="GG92" s="143">
        <v>214</v>
      </c>
      <c r="GH92" s="143">
        <v>201</v>
      </c>
      <c r="GI92" s="143">
        <v>181</v>
      </c>
      <c r="GJ92" s="143">
        <v>166</v>
      </c>
      <c r="GK92" s="143">
        <v>170</v>
      </c>
      <c r="GL92" s="143">
        <v>187</v>
      </c>
      <c r="GM92" s="143">
        <v>220</v>
      </c>
      <c r="GN92" s="143">
        <v>221</v>
      </c>
      <c r="GO92" s="143">
        <v>218</v>
      </c>
      <c r="GP92" s="143">
        <v>271</v>
      </c>
      <c r="GQ92" s="143">
        <v>292</v>
      </c>
      <c r="GR92" s="143">
        <v>300</v>
      </c>
      <c r="GS92" s="143">
        <f>SUM(B92:GR92)/198</f>
        <v>149.63636363636363</v>
      </c>
      <c r="GT92" s="152"/>
      <c r="GU92" s="12" t="s">
        <v>29</v>
      </c>
      <c r="GV92" s="145" t="s">
        <v>30</v>
      </c>
      <c r="GW92" s="145">
        <f t="shared" ref="GW92:IB92" si="130">(C92-B92)/B92</f>
        <v>6.097560975609756E-2</v>
      </c>
      <c r="GX92" s="145">
        <f t="shared" si="130"/>
        <v>0.11494252873563218</v>
      </c>
      <c r="GY92" s="145">
        <f t="shared" si="130"/>
        <v>3.0927835051546393E-2</v>
      </c>
      <c r="GZ92" s="145">
        <f t="shared" si="130"/>
        <v>0.1</v>
      </c>
      <c r="HA92" s="145">
        <f t="shared" si="130"/>
        <v>3.3333333333333333E-2</v>
      </c>
      <c r="HB92" s="145">
        <f t="shared" si="130"/>
        <v>-2.932551319648094E-2</v>
      </c>
      <c r="HC92" s="145">
        <f t="shared" si="130"/>
        <v>-2.4169184290030211E-2</v>
      </c>
      <c r="HD92" s="145">
        <f t="shared" si="130"/>
        <v>0</v>
      </c>
      <c r="HE92" s="145">
        <f t="shared" si="130"/>
        <v>-8.0495356037151702E-2</v>
      </c>
      <c r="HF92" s="145">
        <f t="shared" si="130"/>
        <v>-6.7340067340067339E-2</v>
      </c>
      <c r="HG92" s="145">
        <f t="shared" si="130"/>
        <v>-5.0541516245487361E-2</v>
      </c>
      <c r="HH92" s="145">
        <f t="shared" si="130"/>
        <v>1.9011406844106463E-2</v>
      </c>
      <c r="HI92" s="145">
        <f t="shared" si="130"/>
        <v>6.7164179104477612E-2</v>
      </c>
      <c r="HJ92" s="145">
        <f t="shared" si="130"/>
        <v>3.4965034965034965E-3</v>
      </c>
      <c r="HK92" s="145">
        <f t="shared" si="130"/>
        <v>-1.3937282229965157E-2</v>
      </c>
      <c r="HL92" s="145">
        <f t="shared" si="130"/>
        <v>-1.4134275618374558E-2</v>
      </c>
      <c r="HM92" s="145">
        <f t="shared" si="130"/>
        <v>-3.2258064516129031E-2</v>
      </c>
      <c r="HN92" s="145">
        <f t="shared" si="130"/>
        <v>-6.6666666666666666E-2</v>
      </c>
      <c r="HO92" s="145">
        <f t="shared" si="130"/>
        <v>-8.3333333333333329E-2</v>
      </c>
      <c r="HP92" s="145">
        <f t="shared" si="130"/>
        <v>-0.12121212121212122</v>
      </c>
      <c r="HQ92" s="145">
        <f t="shared" si="130"/>
        <v>-0.12315270935960591</v>
      </c>
      <c r="HR92" s="145">
        <f t="shared" si="130"/>
        <v>-0.12359550561797752</v>
      </c>
      <c r="HS92" s="145">
        <f t="shared" si="130"/>
        <v>-4.4871794871794872E-2</v>
      </c>
      <c r="HT92" s="145">
        <f t="shared" si="130"/>
        <v>4.0268456375838924E-2</v>
      </c>
      <c r="HU92" s="145">
        <f t="shared" si="130"/>
        <v>1.2903225806451613E-2</v>
      </c>
      <c r="HV92" s="145">
        <f t="shared" si="130"/>
        <v>-1.2738853503184714E-2</v>
      </c>
      <c r="HW92" s="145">
        <f t="shared" si="130"/>
        <v>-7.7419354838709681E-2</v>
      </c>
      <c r="HX92" s="145">
        <f t="shared" si="130"/>
        <v>2.097902097902098E-2</v>
      </c>
      <c r="HY92" s="145">
        <f t="shared" si="130"/>
        <v>-6.8493150684931503E-3</v>
      </c>
      <c r="HZ92" s="145">
        <f t="shared" si="130"/>
        <v>-7.586206896551724E-2</v>
      </c>
      <c r="IA92" s="145">
        <f t="shared" si="130"/>
        <v>-2.9850746268656716E-2</v>
      </c>
      <c r="IB92" s="145">
        <f t="shared" si="130"/>
        <v>1.5384615384615385E-2</v>
      </c>
      <c r="IC92" s="145">
        <f t="shared" ref="IC92:JH92" si="131">(AI92-AH92)/AH92</f>
        <v>-5.3030303030303032E-2</v>
      </c>
      <c r="ID92" s="145">
        <f t="shared" si="131"/>
        <v>-0.08</v>
      </c>
      <c r="IE92" s="145">
        <f t="shared" si="131"/>
        <v>-9.5652173913043481E-2</v>
      </c>
      <c r="IF92" s="145">
        <f t="shared" si="131"/>
        <v>9.6153846153846159E-3</v>
      </c>
      <c r="IG92" s="145">
        <f t="shared" si="131"/>
        <v>3.8095238095238099E-2</v>
      </c>
      <c r="IH92" s="145">
        <f t="shared" si="131"/>
        <v>4.5871559633027525E-2</v>
      </c>
      <c r="II92" s="145">
        <f t="shared" si="131"/>
        <v>-3.5087719298245612E-2</v>
      </c>
      <c r="IJ92" s="145">
        <f t="shared" si="131"/>
        <v>5.4545454545454543E-2</v>
      </c>
      <c r="IK92" s="145">
        <f t="shared" si="131"/>
        <v>-3.4482758620689655E-2</v>
      </c>
      <c r="IL92" s="145">
        <f t="shared" si="131"/>
        <v>-6.25E-2</v>
      </c>
      <c r="IM92" s="145">
        <f t="shared" si="131"/>
        <v>9.5238095238095247E-3</v>
      </c>
      <c r="IN92" s="145">
        <f t="shared" si="131"/>
        <v>-7.5471698113207544E-2</v>
      </c>
      <c r="IO92" s="145">
        <f t="shared" si="131"/>
        <v>-6.1224489795918366E-2</v>
      </c>
      <c r="IP92" s="145">
        <f t="shared" si="131"/>
        <v>-4.3478260869565216E-2</v>
      </c>
      <c r="IQ92" s="145">
        <f t="shared" si="131"/>
        <v>0</v>
      </c>
      <c r="IR92" s="145">
        <f t="shared" si="131"/>
        <v>3.4090909090909088E-2</v>
      </c>
      <c r="IS92" s="145">
        <f t="shared" si="131"/>
        <v>4.3956043956043959E-2</v>
      </c>
      <c r="IT92" s="145">
        <f t="shared" si="131"/>
        <v>-2.1052631578947368E-2</v>
      </c>
      <c r="IU92" s="145">
        <f t="shared" si="131"/>
        <v>-4.3010752688172046E-2</v>
      </c>
      <c r="IV92" s="145">
        <f t="shared" si="131"/>
        <v>0.1348314606741573</v>
      </c>
      <c r="IW92" s="145">
        <f t="shared" si="131"/>
        <v>9.9009900990099011E-3</v>
      </c>
      <c r="IX92" s="145">
        <f t="shared" si="131"/>
        <v>-4.9019607843137254E-2</v>
      </c>
      <c r="IY92" s="145">
        <f t="shared" si="131"/>
        <v>-4.1237113402061855E-2</v>
      </c>
      <c r="IZ92" s="145">
        <f t="shared" si="131"/>
        <v>-9.6774193548387094E-2</v>
      </c>
      <c r="JA92" s="145">
        <f t="shared" si="131"/>
        <v>-5.9523809523809521E-2</v>
      </c>
      <c r="JB92" s="145">
        <f t="shared" si="131"/>
        <v>0</v>
      </c>
      <c r="JC92" s="145">
        <f t="shared" si="131"/>
        <v>-3.7974683544303799E-2</v>
      </c>
      <c r="JD92" s="145">
        <f t="shared" si="131"/>
        <v>0.11842105263157894</v>
      </c>
      <c r="JE92" s="145">
        <f t="shared" si="131"/>
        <v>9.4117647058823528E-2</v>
      </c>
      <c r="JF92" s="145">
        <f t="shared" si="131"/>
        <v>0.11827956989247312</v>
      </c>
      <c r="JG92" s="145">
        <f t="shared" si="131"/>
        <v>9.6153846153846159E-3</v>
      </c>
      <c r="JH92" s="145">
        <f t="shared" si="131"/>
        <v>5.7142857142857141E-2</v>
      </c>
      <c r="JI92" s="145">
        <f t="shared" ref="JI92:KN92" si="132">(BO92-BN92)/BN92</f>
        <v>8.1081081081081086E-2</v>
      </c>
      <c r="JJ92" s="145">
        <f t="shared" si="132"/>
        <v>-8.3333333333333332E-3</v>
      </c>
      <c r="JK92" s="145">
        <f t="shared" si="132"/>
        <v>-2.5210084033613446E-2</v>
      </c>
      <c r="JL92" s="145">
        <f t="shared" si="132"/>
        <v>-9.4827586206896547E-2</v>
      </c>
      <c r="JM92" s="145">
        <f t="shared" si="132"/>
        <v>-0.15238095238095239</v>
      </c>
      <c r="JN92" s="145">
        <f t="shared" si="132"/>
        <v>-5.6179775280898875E-2</v>
      </c>
      <c r="JO92" s="145">
        <f t="shared" si="132"/>
        <v>4.7619047619047616E-2</v>
      </c>
      <c r="JP92" s="145">
        <f t="shared" si="132"/>
        <v>0.10227272727272728</v>
      </c>
      <c r="JQ92" s="145">
        <f t="shared" si="132"/>
        <v>0.22680412371134021</v>
      </c>
      <c r="JR92" s="145">
        <f t="shared" si="132"/>
        <v>6.7226890756302518E-2</v>
      </c>
      <c r="JS92" s="145">
        <f t="shared" si="132"/>
        <v>3.1496062992125984E-2</v>
      </c>
      <c r="JT92" s="145">
        <f t="shared" si="132"/>
        <v>6.1068702290076333E-2</v>
      </c>
      <c r="JU92" s="145">
        <f t="shared" si="132"/>
        <v>1.4388489208633094E-2</v>
      </c>
      <c r="JV92" s="145">
        <f t="shared" si="132"/>
        <v>7.0921985815602835E-3</v>
      </c>
      <c r="JW92" s="145">
        <f t="shared" si="132"/>
        <v>-1.4084507042253521E-2</v>
      </c>
      <c r="JX92" s="145">
        <f t="shared" si="132"/>
        <v>-6.4285714285714279E-2</v>
      </c>
      <c r="JY92" s="145">
        <f t="shared" si="132"/>
        <v>-0.16793893129770993</v>
      </c>
      <c r="JZ92" s="145">
        <f t="shared" si="132"/>
        <v>-9.1743119266055051E-2</v>
      </c>
      <c r="KA92" s="145">
        <f t="shared" si="132"/>
        <v>2.0202020202020204E-2</v>
      </c>
      <c r="KB92" s="145">
        <f t="shared" si="132"/>
        <v>6.9306930693069313E-2</v>
      </c>
      <c r="KC92" s="145">
        <f t="shared" si="132"/>
        <v>0.15740740740740741</v>
      </c>
      <c r="KD92" s="145">
        <f t="shared" si="132"/>
        <v>9.6000000000000002E-2</v>
      </c>
      <c r="KE92" s="145">
        <f t="shared" si="132"/>
        <v>1.4598540145985401E-2</v>
      </c>
      <c r="KF92" s="145">
        <f t="shared" si="132"/>
        <v>6.4748201438848921E-2</v>
      </c>
      <c r="KG92" s="145">
        <f t="shared" si="132"/>
        <v>8.7837837837837843E-2</v>
      </c>
      <c r="KH92" s="145">
        <f t="shared" si="132"/>
        <v>-3.7267080745341616E-2</v>
      </c>
      <c r="KI92" s="145">
        <f t="shared" si="132"/>
        <v>-6.4516129032258063E-2</v>
      </c>
      <c r="KJ92" s="145">
        <f t="shared" si="132"/>
        <v>-0.1103448275862069</v>
      </c>
      <c r="KK92" s="145">
        <f t="shared" si="132"/>
        <v>-0.18604651162790697</v>
      </c>
      <c r="KL92" s="145">
        <f t="shared" si="132"/>
        <v>-3.8095238095238099E-2</v>
      </c>
      <c r="KM92" s="145">
        <f t="shared" si="132"/>
        <v>3.9603960396039604E-2</v>
      </c>
      <c r="KN92" s="145">
        <f t="shared" si="132"/>
        <v>6.6666666666666666E-2</v>
      </c>
      <c r="KO92" s="145">
        <f t="shared" ref="KO92:LT92" si="133">(CU92-CT92)/CT92</f>
        <v>0.19642857142857142</v>
      </c>
      <c r="KP92" s="145">
        <f t="shared" si="133"/>
        <v>-2.2388059701492536E-2</v>
      </c>
      <c r="KQ92" s="145">
        <f t="shared" si="133"/>
        <v>2.2900763358778626E-2</v>
      </c>
      <c r="KR92" s="145">
        <f t="shared" si="133"/>
        <v>0.14925373134328357</v>
      </c>
      <c r="KS92" s="145">
        <f t="shared" si="133"/>
        <v>5.844155844155844E-2</v>
      </c>
      <c r="KT92" s="145">
        <f t="shared" si="133"/>
        <v>0</v>
      </c>
      <c r="KU92" s="145">
        <f t="shared" si="133"/>
        <v>-2.4539877300613498E-2</v>
      </c>
      <c r="KV92" s="145">
        <f t="shared" si="133"/>
        <v>-6.9182389937106917E-2</v>
      </c>
      <c r="KW92" s="145">
        <f t="shared" si="133"/>
        <v>-0.16891891891891891</v>
      </c>
      <c r="KX92" s="145">
        <f t="shared" si="133"/>
        <v>-0.11382113821138211</v>
      </c>
      <c r="KY92" s="145">
        <f t="shared" si="133"/>
        <v>-9.1743119266055051E-3</v>
      </c>
      <c r="KZ92" s="145">
        <f t="shared" si="133"/>
        <v>0.1388888888888889</v>
      </c>
      <c r="LA92" s="145">
        <f t="shared" si="133"/>
        <v>0.11382113821138211</v>
      </c>
      <c r="LB92" s="145">
        <f t="shared" si="133"/>
        <v>7.2992700729927001E-2</v>
      </c>
      <c r="LC92" s="145">
        <f t="shared" si="133"/>
        <v>8.1632653061224483E-2</v>
      </c>
      <c r="LD92" s="145">
        <f t="shared" si="133"/>
        <v>5.6603773584905662E-2</v>
      </c>
      <c r="LE92" s="145">
        <f t="shared" si="133"/>
        <v>4.7619047619047616E-2</v>
      </c>
      <c r="LF92" s="145">
        <f t="shared" si="133"/>
        <v>-0.10227272727272728</v>
      </c>
      <c r="LG92" s="145">
        <f t="shared" si="133"/>
        <v>-7.5949367088607597E-2</v>
      </c>
      <c r="LH92" s="145">
        <f t="shared" si="133"/>
        <v>-8.9041095890410954E-2</v>
      </c>
      <c r="LI92" s="145">
        <f t="shared" si="133"/>
        <v>-0.17293233082706766</v>
      </c>
      <c r="LJ92" s="145">
        <f t="shared" si="133"/>
        <v>-9.0909090909090912E-2</v>
      </c>
      <c r="LK92" s="145">
        <f t="shared" si="133"/>
        <v>0.01</v>
      </c>
      <c r="LL92" s="145">
        <f t="shared" si="133"/>
        <v>0.14851485148514851</v>
      </c>
      <c r="LM92" s="145">
        <f t="shared" si="133"/>
        <v>0.14655172413793102</v>
      </c>
      <c r="LN92" s="145">
        <f t="shared" si="133"/>
        <v>3.007518796992481E-2</v>
      </c>
      <c r="LO92" s="145">
        <f t="shared" si="133"/>
        <v>2.9197080291970802E-2</v>
      </c>
      <c r="LP92" s="145">
        <f t="shared" si="133"/>
        <v>0.12056737588652482</v>
      </c>
      <c r="LQ92" s="145">
        <f t="shared" si="133"/>
        <v>-1.2658227848101266E-2</v>
      </c>
      <c r="LR92" s="145">
        <f t="shared" si="133"/>
        <v>-1.282051282051282E-2</v>
      </c>
      <c r="LS92" s="145">
        <f t="shared" si="133"/>
        <v>-3.2467532467532464E-2</v>
      </c>
      <c r="LT92" s="145">
        <f t="shared" si="133"/>
        <v>-0.11409395973154363</v>
      </c>
      <c r="LU92" s="145">
        <f t="shared" ref="LU92:MR92" si="134">(EA92-DZ92)/DZ92</f>
        <v>-0.17424242424242425</v>
      </c>
      <c r="LV92" s="145">
        <f t="shared" si="134"/>
        <v>-9.1743119266055051E-2</v>
      </c>
      <c r="LW92" s="145">
        <f t="shared" si="134"/>
        <v>-6.0606060606060608E-2</v>
      </c>
      <c r="LX92" s="145">
        <f t="shared" si="134"/>
        <v>0.18279569892473119</v>
      </c>
      <c r="LY92" s="145">
        <f t="shared" si="134"/>
        <v>0.15454545454545454</v>
      </c>
      <c r="LZ92" s="145">
        <f t="shared" si="134"/>
        <v>0.12598425196850394</v>
      </c>
      <c r="MA92" s="145">
        <f t="shared" si="134"/>
        <v>4.8951048951048952E-2</v>
      </c>
      <c r="MB92" s="145">
        <f t="shared" si="134"/>
        <v>0.04</v>
      </c>
      <c r="MC92" s="145">
        <f t="shared" si="134"/>
        <v>1.9230769230769232E-2</v>
      </c>
      <c r="MD92" s="145">
        <f t="shared" si="134"/>
        <v>5.0314465408805034E-2</v>
      </c>
      <c r="ME92" s="145">
        <f t="shared" si="134"/>
        <v>-4.790419161676647E-2</v>
      </c>
      <c r="MF92" s="145">
        <f t="shared" si="134"/>
        <v>-8.1761006289308172E-2</v>
      </c>
      <c r="MG92" s="145">
        <f t="shared" si="134"/>
        <v>-0.12328767123287671</v>
      </c>
      <c r="MH92" s="145">
        <f t="shared" si="134"/>
        <v>-0.1171875</v>
      </c>
      <c r="MI92" s="145">
        <f t="shared" si="134"/>
        <v>0</v>
      </c>
      <c r="MJ92" s="145">
        <f t="shared" si="134"/>
        <v>8.8495575221238937E-2</v>
      </c>
      <c r="MK92" s="145">
        <f t="shared" si="134"/>
        <v>0.16260162601626016</v>
      </c>
      <c r="ML92" s="145">
        <f t="shared" si="134"/>
        <v>4.8951048951048952E-2</v>
      </c>
      <c r="MM92" s="145">
        <f t="shared" si="134"/>
        <v>0</v>
      </c>
      <c r="MN92" s="145">
        <f t="shared" si="134"/>
        <v>0.06</v>
      </c>
      <c r="MO92" s="145">
        <f t="shared" si="134"/>
        <v>1.2578616352201259E-2</v>
      </c>
      <c r="MP92" s="145">
        <f t="shared" si="134"/>
        <v>-9.3167701863354033E-2</v>
      </c>
      <c r="MQ92" s="145">
        <f t="shared" si="134"/>
        <v>-6.1643835616438353E-2</v>
      </c>
      <c r="MR92" s="145">
        <f t="shared" si="134"/>
        <v>-7.2992700729927005E-3</v>
      </c>
      <c r="MS92" s="145">
        <f>(EZ92-EY92)/EY92</f>
        <v>-0.16153846153846155</v>
      </c>
      <c r="MT92" s="145">
        <f t="shared" ref="MT92:NC96" si="135">(EZ92-EY92)/EZ92</f>
        <v>-0.19266055045871561</v>
      </c>
      <c r="MU92" s="145">
        <f t="shared" si="135"/>
        <v>-2.8301886792452831E-2</v>
      </c>
      <c r="MV92" s="145">
        <f t="shared" si="135"/>
        <v>0.15873015873015872</v>
      </c>
      <c r="MW92" s="145">
        <f t="shared" si="135"/>
        <v>0</v>
      </c>
      <c r="MX92" s="145">
        <f t="shared" si="135"/>
        <v>0</v>
      </c>
      <c r="MY92" s="145">
        <f t="shared" si="135"/>
        <v>-0.15596330275229359</v>
      </c>
      <c r="MZ92" s="145">
        <f t="shared" si="135"/>
        <v>-1.8691588785046728E-2</v>
      </c>
      <c r="NA92" s="145">
        <f t="shared" si="135"/>
        <v>-9.433962264150943E-3</v>
      </c>
      <c r="NB92" s="145">
        <f t="shared" si="135"/>
        <v>7.0175438596491224E-2</v>
      </c>
      <c r="NC92" s="145">
        <f t="shared" si="135"/>
        <v>4.2016806722689079E-2</v>
      </c>
      <c r="ND92" s="145">
        <f t="shared" ref="ND92:NM96" si="136">(FJ92-FI92)/FJ92</f>
        <v>-2.5862068965517241E-2</v>
      </c>
      <c r="NE92" s="145">
        <f t="shared" si="136"/>
        <v>-0.10476190476190476</v>
      </c>
      <c r="NF92" s="145">
        <f t="shared" si="136"/>
        <v>-0.05</v>
      </c>
      <c r="NG92" s="145">
        <f t="shared" si="136"/>
        <v>-4.1666666666666664E-2</v>
      </c>
      <c r="NH92" s="145">
        <f t="shared" si="136"/>
        <v>8.5714285714285715E-2</v>
      </c>
      <c r="NI92" s="145">
        <f t="shared" si="136"/>
        <v>2.7777777777777776E-2</v>
      </c>
      <c r="NJ92" s="145">
        <f t="shared" si="136"/>
        <v>-4.8543689320388349E-2</v>
      </c>
      <c r="NK92" s="145">
        <f t="shared" si="136"/>
        <v>-0.03</v>
      </c>
      <c r="NL92" s="145">
        <f t="shared" si="136"/>
        <v>6.5420560747663545E-2</v>
      </c>
      <c r="NM92" s="145">
        <f t="shared" si="136"/>
        <v>6.9565217391304349E-2</v>
      </c>
      <c r="NN92" s="145">
        <f t="shared" ref="NN92:NW96" si="137">(FT92-FS92)/FT92</f>
        <v>-7.476635514018691E-2</v>
      </c>
      <c r="NO92" s="145">
        <f t="shared" si="137"/>
        <v>0.10833333333333334</v>
      </c>
      <c r="NP92" s="145">
        <f t="shared" si="137"/>
        <v>7.6923076923076927E-2</v>
      </c>
      <c r="NQ92" s="145">
        <f t="shared" si="137"/>
        <v>0.2073170731707317</v>
      </c>
      <c r="NR92" s="145">
        <f t="shared" si="137"/>
        <v>-4.4585987261146494E-2</v>
      </c>
      <c r="NS92" s="145">
        <f t="shared" si="137"/>
        <v>-1.948051948051948E-2</v>
      </c>
      <c r="NT92" s="145">
        <f t="shared" si="137"/>
        <v>4.9382716049382713E-2</v>
      </c>
      <c r="NU92" s="145">
        <f t="shared" si="137"/>
        <v>0.13368983957219252</v>
      </c>
      <c r="NV92" s="145">
        <f t="shared" si="137"/>
        <v>-2.7472527472527472E-2</v>
      </c>
      <c r="NW92" s="145">
        <f t="shared" si="137"/>
        <v>-7.0588235294117646E-2</v>
      </c>
      <c r="NX92" s="145">
        <f t="shared" ref="NX92:OL96" si="138">(GD92-GC92)/GD92</f>
        <v>0.17475728155339806</v>
      </c>
      <c r="NY92" s="145">
        <f t="shared" si="138"/>
        <v>4.6296296296296294E-2</v>
      </c>
      <c r="NZ92" s="145">
        <f t="shared" si="138"/>
        <v>-3.3492822966507178E-2</v>
      </c>
      <c r="OA92" s="145">
        <f t="shared" si="138"/>
        <v>2.336448598130841E-2</v>
      </c>
      <c r="OB92" s="145">
        <f t="shared" si="138"/>
        <v>-6.4676616915422883E-2</v>
      </c>
      <c r="OC92" s="145">
        <f t="shared" si="138"/>
        <v>-0.11049723756906077</v>
      </c>
      <c r="OD92" s="145">
        <f t="shared" si="138"/>
        <v>-9.036144578313253E-2</v>
      </c>
      <c r="OE92" s="145">
        <f t="shared" si="138"/>
        <v>2.3529411764705882E-2</v>
      </c>
      <c r="OF92" s="145">
        <f t="shared" si="138"/>
        <v>9.0909090909090912E-2</v>
      </c>
      <c r="OG92" s="145">
        <f t="shared" si="138"/>
        <v>0.15</v>
      </c>
      <c r="OH92" s="145">
        <f t="shared" si="138"/>
        <v>4.5248868778280547E-3</v>
      </c>
      <c r="OI92" s="145">
        <f t="shared" si="138"/>
        <v>-1.3761467889908258E-2</v>
      </c>
      <c r="OJ92" s="145">
        <f t="shared" si="138"/>
        <v>0.19557195571955718</v>
      </c>
      <c r="OK92" s="145">
        <f t="shared" si="138"/>
        <v>7.1917808219178078E-2</v>
      </c>
      <c r="OL92" s="145">
        <f t="shared" si="138"/>
        <v>2.6666666666666668E-2</v>
      </c>
    </row>
    <row r="93" spans="1:402" s="145" customFormat="1" ht="19.5" customHeight="1" x14ac:dyDescent="0.35">
      <c r="A93" s="12" t="s">
        <v>31</v>
      </c>
      <c r="B93" s="156"/>
      <c r="C93" s="156"/>
      <c r="D93" s="156"/>
      <c r="E93" s="156"/>
      <c r="F93" s="156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>
        <v>4</v>
      </c>
      <c r="DK93" s="143">
        <v>5</v>
      </c>
      <c r="DL93" s="143">
        <v>10</v>
      </c>
      <c r="DM93" s="143">
        <v>5</v>
      </c>
      <c r="DN93" s="143">
        <v>2</v>
      </c>
      <c r="DO93" s="143">
        <v>3</v>
      </c>
      <c r="DP93" s="143">
        <v>2</v>
      </c>
      <c r="DQ93" s="143">
        <v>2</v>
      </c>
      <c r="DR93" s="143">
        <v>4</v>
      </c>
      <c r="DS93" s="143">
        <v>1</v>
      </c>
      <c r="DT93" s="143">
        <v>5</v>
      </c>
      <c r="DU93" s="143">
        <v>3</v>
      </c>
      <c r="DV93" s="143">
        <v>3</v>
      </c>
      <c r="DW93" s="143">
        <v>4</v>
      </c>
      <c r="DX93" s="143">
        <v>4</v>
      </c>
      <c r="DY93" s="143">
        <v>11</v>
      </c>
      <c r="DZ93" s="143">
        <v>7</v>
      </c>
      <c r="EA93" s="143">
        <v>5</v>
      </c>
      <c r="EB93" s="143">
        <v>3</v>
      </c>
      <c r="EC93" s="143">
        <v>7</v>
      </c>
      <c r="ED93" s="143">
        <v>3</v>
      </c>
      <c r="EE93" s="143">
        <v>4</v>
      </c>
      <c r="EF93" s="143">
        <v>4</v>
      </c>
      <c r="EG93" s="143">
        <v>8</v>
      </c>
      <c r="EH93" s="143">
        <v>11</v>
      </c>
      <c r="EI93" s="143">
        <v>7</v>
      </c>
      <c r="EJ93" s="143">
        <v>9</v>
      </c>
      <c r="EK93" s="143">
        <v>12</v>
      </c>
      <c r="EL93" s="143">
        <v>8</v>
      </c>
      <c r="EM93" s="143">
        <v>3</v>
      </c>
      <c r="EN93" s="143">
        <v>3</v>
      </c>
      <c r="EO93" s="143">
        <v>3</v>
      </c>
      <c r="EP93" s="143">
        <v>4</v>
      </c>
      <c r="EQ93" s="143">
        <v>4</v>
      </c>
      <c r="ER93" s="143">
        <v>4</v>
      </c>
      <c r="ES93" s="143">
        <v>8</v>
      </c>
      <c r="ET93" s="143">
        <v>8</v>
      </c>
      <c r="EU93" s="143">
        <v>7</v>
      </c>
      <c r="EV93" s="143">
        <v>5</v>
      </c>
      <c r="EW93" s="143">
        <v>4</v>
      </c>
      <c r="EX93" s="143">
        <v>8</v>
      </c>
      <c r="EY93" s="143">
        <v>10</v>
      </c>
      <c r="EZ93" s="143">
        <v>10</v>
      </c>
      <c r="FA93" s="143">
        <v>16</v>
      </c>
      <c r="FB93" s="143">
        <v>12</v>
      </c>
      <c r="FC93" s="143">
        <v>20</v>
      </c>
      <c r="FD93" s="143">
        <v>17</v>
      </c>
      <c r="FE93" s="143">
        <v>16</v>
      </c>
      <c r="FF93" s="143">
        <v>25</v>
      </c>
      <c r="FG93" s="143">
        <v>21</v>
      </c>
      <c r="FH93" s="143">
        <v>22</v>
      </c>
      <c r="FI93" s="143">
        <v>30</v>
      </c>
      <c r="FJ93" s="143">
        <v>23</v>
      </c>
      <c r="FK93" s="143">
        <v>17</v>
      </c>
      <c r="FL93" s="143">
        <v>12</v>
      </c>
      <c r="FM93" s="143">
        <v>7</v>
      </c>
      <c r="FN93" s="143">
        <v>16</v>
      </c>
      <c r="FO93" s="143">
        <v>17</v>
      </c>
      <c r="FP93" s="143">
        <v>26</v>
      </c>
      <c r="FQ93" s="143">
        <v>16</v>
      </c>
      <c r="FR93" s="143">
        <v>27</v>
      </c>
      <c r="FS93" s="143">
        <v>31</v>
      </c>
      <c r="FT93" s="143">
        <v>33</v>
      </c>
      <c r="FU93" s="143">
        <v>31</v>
      </c>
      <c r="FV93" s="143">
        <v>25</v>
      </c>
      <c r="FW93" s="143">
        <v>20</v>
      </c>
      <c r="FX93" s="143">
        <v>22</v>
      </c>
      <c r="FY93" s="143">
        <v>11</v>
      </c>
      <c r="FZ93" s="143">
        <v>17</v>
      </c>
      <c r="GA93" s="143">
        <v>13</v>
      </c>
      <c r="GB93" s="143">
        <v>10</v>
      </c>
      <c r="GC93" s="143">
        <v>8</v>
      </c>
      <c r="GD93" s="143">
        <v>15</v>
      </c>
      <c r="GE93" s="143">
        <v>21</v>
      </c>
      <c r="GF93" s="143">
        <v>29</v>
      </c>
      <c r="GG93" s="143">
        <v>29</v>
      </c>
      <c r="GH93" s="143">
        <v>24</v>
      </c>
      <c r="GI93" s="143">
        <v>16</v>
      </c>
      <c r="GJ93" s="143">
        <v>11</v>
      </c>
      <c r="GK93" s="143">
        <v>8</v>
      </c>
      <c r="GL93" s="143">
        <v>15</v>
      </c>
      <c r="GM93" s="143">
        <v>16</v>
      </c>
      <c r="GN93" s="143">
        <v>17</v>
      </c>
      <c r="GO93" s="143">
        <v>13</v>
      </c>
      <c r="GP93" s="143">
        <v>18</v>
      </c>
      <c r="GQ93" s="143">
        <v>32</v>
      </c>
      <c r="GR93" s="143">
        <v>34</v>
      </c>
      <c r="GS93" s="143">
        <f>SUM(B93:GR93)/86</f>
        <v>12.744186046511627</v>
      </c>
      <c r="GT93" s="152"/>
      <c r="GU93" s="12" t="s">
        <v>31</v>
      </c>
      <c r="LE93" s="145">
        <f t="shared" ref="LE93:LN96" si="139">(DK93-DJ93)/DJ93</f>
        <v>0.25</v>
      </c>
      <c r="LF93" s="145">
        <f t="shared" si="139"/>
        <v>1</v>
      </c>
      <c r="LG93" s="145">
        <f t="shared" si="139"/>
        <v>-0.5</v>
      </c>
      <c r="LH93" s="145">
        <f t="shared" si="139"/>
        <v>-0.6</v>
      </c>
      <c r="LI93" s="145">
        <f t="shared" si="139"/>
        <v>0.5</v>
      </c>
      <c r="LJ93" s="145">
        <f t="shared" si="139"/>
        <v>-0.33333333333333331</v>
      </c>
      <c r="LK93" s="145">
        <f t="shared" si="139"/>
        <v>0</v>
      </c>
      <c r="LL93" s="145">
        <f t="shared" si="139"/>
        <v>1</v>
      </c>
      <c r="LM93" s="145">
        <f t="shared" si="139"/>
        <v>-0.75</v>
      </c>
      <c r="LN93" s="145">
        <f t="shared" si="139"/>
        <v>4</v>
      </c>
      <c r="LO93" s="145">
        <f t="shared" ref="LO93:LX96" si="140">(DU93-DT93)/DT93</f>
        <v>-0.4</v>
      </c>
      <c r="LP93" s="145">
        <f t="shared" si="140"/>
        <v>0</v>
      </c>
      <c r="LQ93" s="145">
        <f t="shared" si="140"/>
        <v>0.33333333333333331</v>
      </c>
      <c r="LR93" s="145">
        <f t="shared" si="140"/>
        <v>0</v>
      </c>
      <c r="LS93" s="145">
        <f t="shared" si="140"/>
        <v>1.75</v>
      </c>
      <c r="LT93" s="145">
        <f t="shared" si="140"/>
        <v>-0.36363636363636365</v>
      </c>
      <c r="LU93" s="145">
        <f t="shared" si="140"/>
        <v>-0.2857142857142857</v>
      </c>
      <c r="LV93" s="145">
        <f t="shared" si="140"/>
        <v>-0.4</v>
      </c>
      <c r="LW93" s="145">
        <f t="shared" si="140"/>
        <v>1.3333333333333333</v>
      </c>
      <c r="LX93" s="145">
        <f t="shared" si="140"/>
        <v>-0.5714285714285714</v>
      </c>
      <c r="LY93" s="145">
        <f t="shared" ref="LY93:MH96" si="141">(EE93-ED93)/ED93</f>
        <v>0.33333333333333331</v>
      </c>
      <c r="LZ93" s="145">
        <f t="shared" si="141"/>
        <v>0</v>
      </c>
      <c r="MA93" s="145">
        <f t="shared" si="141"/>
        <v>1</v>
      </c>
      <c r="MB93" s="145">
        <f t="shared" si="141"/>
        <v>0.375</v>
      </c>
      <c r="MC93" s="145">
        <f t="shared" si="141"/>
        <v>-0.36363636363636365</v>
      </c>
      <c r="MD93" s="145">
        <f t="shared" si="141"/>
        <v>0.2857142857142857</v>
      </c>
      <c r="ME93" s="145">
        <f t="shared" si="141"/>
        <v>0.33333333333333331</v>
      </c>
      <c r="MF93" s="145">
        <f t="shared" si="141"/>
        <v>-0.33333333333333331</v>
      </c>
      <c r="MG93" s="145">
        <f t="shared" si="141"/>
        <v>-0.625</v>
      </c>
      <c r="MH93" s="145">
        <f t="shared" si="141"/>
        <v>0</v>
      </c>
      <c r="MI93" s="145">
        <f t="shared" ref="MI93:MR96" si="142">(EO93-EN93)/EN93</f>
        <v>0</v>
      </c>
      <c r="MJ93" s="145">
        <f t="shared" si="142"/>
        <v>0.33333333333333331</v>
      </c>
      <c r="MK93" s="145">
        <f t="shared" si="142"/>
        <v>0</v>
      </c>
      <c r="ML93" s="145">
        <f t="shared" si="142"/>
        <v>0</v>
      </c>
      <c r="MM93" s="145">
        <f t="shared" si="142"/>
        <v>1</v>
      </c>
      <c r="MN93" s="145">
        <f t="shared" si="142"/>
        <v>0</v>
      </c>
      <c r="MO93" s="145">
        <f t="shared" si="142"/>
        <v>-0.125</v>
      </c>
      <c r="MP93" s="145">
        <f t="shared" si="142"/>
        <v>-0.2857142857142857</v>
      </c>
      <c r="MQ93" s="145">
        <f t="shared" si="142"/>
        <v>-0.2</v>
      </c>
      <c r="MR93" s="145">
        <f t="shared" si="142"/>
        <v>1</v>
      </c>
      <c r="MS93" s="145">
        <f>(EZ93-EY93)/EY93</f>
        <v>0</v>
      </c>
      <c r="MT93" s="145">
        <f t="shared" si="135"/>
        <v>0</v>
      </c>
      <c r="MU93" s="145">
        <f t="shared" si="135"/>
        <v>0.375</v>
      </c>
      <c r="MV93" s="145">
        <f t="shared" si="135"/>
        <v>-0.33333333333333331</v>
      </c>
      <c r="MW93" s="145">
        <f t="shared" si="135"/>
        <v>0.4</v>
      </c>
      <c r="MX93" s="145">
        <f t="shared" si="135"/>
        <v>-0.17647058823529413</v>
      </c>
      <c r="MY93" s="145">
        <f t="shared" si="135"/>
        <v>-6.25E-2</v>
      </c>
      <c r="MZ93" s="145">
        <f t="shared" si="135"/>
        <v>0.36</v>
      </c>
      <c r="NA93" s="145">
        <f t="shared" si="135"/>
        <v>-0.19047619047619047</v>
      </c>
      <c r="NB93" s="145">
        <f t="shared" si="135"/>
        <v>4.5454545454545456E-2</v>
      </c>
      <c r="NC93" s="145">
        <f t="shared" si="135"/>
        <v>0.26666666666666666</v>
      </c>
      <c r="ND93" s="145">
        <f t="shared" si="136"/>
        <v>-0.30434782608695654</v>
      </c>
      <c r="NE93" s="145">
        <f t="shared" si="136"/>
        <v>-0.35294117647058826</v>
      </c>
      <c r="NF93" s="145">
        <f t="shared" si="136"/>
        <v>-0.41666666666666669</v>
      </c>
      <c r="NG93" s="145">
        <f t="shared" si="136"/>
        <v>-0.7142857142857143</v>
      </c>
      <c r="NH93" s="145">
        <f t="shared" si="136"/>
        <v>0.5625</v>
      </c>
      <c r="NI93" s="145">
        <f t="shared" si="136"/>
        <v>5.8823529411764705E-2</v>
      </c>
      <c r="NJ93" s="145">
        <f t="shared" si="136"/>
        <v>0.34615384615384615</v>
      </c>
      <c r="NK93" s="145">
        <f t="shared" si="136"/>
        <v>-0.625</v>
      </c>
      <c r="NL93" s="145">
        <f t="shared" si="136"/>
        <v>0.40740740740740738</v>
      </c>
      <c r="NM93" s="145">
        <f t="shared" si="136"/>
        <v>0.12903225806451613</v>
      </c>
      <c r="NN93" s="145">
        <f t="shared" si="137"/>
        <v>6.0606060606060608E-2</v>
      </c>
      <c r="NO93" s="145">
        <f t="shared" si="137"/>
        <v>-6.4516129032258063E-2</v>
      </c>
      <c r="NP93" s="145">
        <f t="shared" si="137"/>
        <v>-0.24</v>
      </c>
      <c r="NQ93" s="145">
        <f t="shared" si="137"/>
        <v>-0.25</v>
      </c>
      <c r="NR93" s="145">
        <f t="shared" si="137"/>
        <v>9.0909090909090912E-2</v>
      </c>
      <c r="NS93" s="145">
        <f t="shared" si="137"/>
        <v>-1</v>
      </c>
      <c r="NT93" s="145">
        <f t="shared" si="137"/>
        <v>0.35294117647058826</v>
      </c>
      <c r="NU93" s="145">
        <f t="shared" si="137"/>
        <v>-0.30769230769230771</v>
      </c>
      <c r="NV93" s="145">
        <f t="shared" si="137"/>
        <v>-0.3</v>
      </c>
      <c r="NW93" s="145">
        <f t="shared" si="137"/>
        <v>-0.25</v>
      </c>
      <c r="NX93" s="145">
        <f t="shared" si="138"/>
        <v>0.46666666666666667</v>
      </c>
      <c r="NY93" s="145">
        <f t="shared" si="138"/>
        <v>0.2857142857142857</v>
      </c>
      <c r="NZ93" s="145">
        <f t="shared" si="138"/>
        <v>0.27586206896551724</v>
      </c>
      <c r="OA93" s="145">
        <f t="shared" si="138"/>
        <v>0</v>
      </c>
      <c r="OB93" s="145">
        <f t="shared" si="138"/>
        <v>-0.20833333333333334</v>
      </c>
      <c r="OC93" s="145">
        <f t="shared" si="138"/>
        <v>-0.5</v>
      </c>
      <c r="OD93" s="145">
        <f t="shared" si="138"/>
        <v>-0.45454545454545453</v>
      </c>
      <c r="OE93" s="145">
        <f t="shared" si="138"/>
        <v>-0.375</v>
      </c>
      <c r="OF93" s="145">
        <f t="shared" si="138"/>
        <v>0.46666666666666667</v>
      </c>
      <c r="OG93" s="145">
        <f t="shared" si="138"/>
        <v>6.25E-2</v>
      </c>
      <c r="OH93" s="145">
        <f t="shared" si="138"/>
        <v>5.8823529411764705E-2</v>
      </c>
      <c r="OI93" s="145">
        <f t="shared" si="138"/>
        <v>-0.30769230769230771</v>
      </c>
      <c r="OJ93" s="145">
        <f t="shared" si="138"/>
        <v>0.27777777777777779</v>
      </c>
      <c r="OK93" s="145">
        <f t="shared" si="138"/>
        <v>0.4375</v>
      </c>
      <c r="OL93" s="145">
        <f t="shared" si="138"/>
        <v>5.8823529411764705E-2</v>
      </c>
    </row>
    <row r="94" spans="1:402" s="145" customFormat="1" ht="19.5" customHeight="1" x14ac:dyDescent="0.35">
      <c r="A94" s="12" t="s">
        <v>32</v>
      </c>
      <c r="B94" s="156">
        <v>6</v>
      </c>
      <c r="C94" s="156">
        <v>1</v>
      </c>
      <c r="D94" s="156">
        <v>4</v>
      </c>
      <c r="E94" s="156">
        <v>4</v>
      </c>
      <c r="F94" s="156">
        <f>'[1]Jan 08'!C39</f>
        <v>6</v>
      </c>
      <c r="G94" s="143">
        <f>'[1]Feb 08'!C39</f>
        <v>14</v>
      </c>
      <c r="H94" s="143">
        <f>'[1]Mar 08'!C39</f>
        <v>10</v>
      </c>
      <c r="I94" s="143">
        <v>4</v>
      </c>
      <c r="J94" s="143">
        <f>'[1]May 08'!C39</f>
        <v>5</v>
      </c>
      <c r="K94" s="143">
        <f>'[1]Jun 08'!C39</f>
        <v>5</v>
      </c>
      <c r="L94" s="143">
        <f>'[1]Jul 08'!C39</f>
        <v>7</v>
      </c>
      <c r="M94" s="143">
        <f>'[1]Aug 08'!C39</f>
        <v>9</v>
      </c>
      <c r="N94" s="143">
        <v>7</v>
      </c>
      <c r="O94" s="143">
        <v>8</v>
      </c>
      <c r="P94" s="143">
        <v>5</v>
      </c>
      <c r="Q94" s="143">
        <v>5</v>
      </c>
      <c r="R94" s="143">
        <v>7</v>
      </c>
      <c r="S94" s="143">
        <v>7</v>
      </c>
      <c r="T94" s="143">
        <v>7</v>
      </c>
      <c r="U94" s="143">
        <v>5</v>
      </c>
      <c r="V94" s="143">
        <v>5</v>
      </c>
      <c r="W94" s="143">
        <v>5</v>
      </c>
      <c r="X94" s="143">
        <v>3</v>
      </c>
      <c r="Y94" s="143">
        <v>2</v>
      </c>
      <c r="Z94" s="143">
        <v>3</v>
      </c>
      <c r="AA94" s="143">
        <v>2</v>
      </c>
      <c r="AB94" s="143">
        <v>1</v>
      </c>
      <c r="AC94" s="143">
        <v>3</v>
      </c>
      <c r="AD94" s="143">
        <v>4</v>
      </c>
      <c r="AE94" s="143">
        <v>0</v>
      </c>
      <c r="AF94" s="143">
        <v>4</v>
      </c>
      <c r="AG94" s="143">
        <v>6</v>
      </c>
      <c r="AH94" s="143">
        <v>6</v>
      </c>
      <c r="AI94" s="143">
        <v>4</v>
      </c>
      <c r="AJ94" s="143">
        <v>3</v>
      </c>
      <c r="AK94" s="143">
        <v>6</v>
      </c>
      <c r="AL94" s="143">
        <v>4</v>
      </c>
      <c r="AM94" s="143">
        <v>6</v>
      </c>
      <c r="AN94" s="143">
        <v>7</v>
      </c>
      <c r="AO94" s="143">
        <v>2</v>
      </c>
      <c r="AP94" s="143">
        <v>3</v>
      </c>
      <c r="AQ94" s="143">
        <v>4</v>
      </c>
      <c r="AR94" s="143">
        <v>5</v>
      </c>
      <c r="AS94" s="143">
        <v>6</v>
      </c>
      <c r="AT94" s="143">
        <v>7</v>
      </c>
      <c r="AU94" s="143">
        <v>2</v>
      </c>
      <c r="AV94" s="143">
        <v>2</v>
      </c>
      <c r="AW94" s="143">
        <v>2</v>
      </c>
      <c r="AX94" s="143">
        <v>1</v>
      </c>
      <c r="AY94" s="143">
        <v>2</v>
      </c>
      <c r="AZ94" s="143">
        <v>2</v>
      </c>
      <c r="BA94" s="143">
        <v>1</v>
      </c>
      <c r="BB94" s="143">
        <v>2</v>
      </c>
      <c r="BC94" s="143">
        <v>3</v>
      </c>
      <c r="BD94" s="143">
        <v>3</v>
      </c>
      <c r="BE94" s="143">
        <v>7</v>
      </c>
      <c r="BF94" s="143">
        <v>1</v>
      </c>
      <c r="BG94" s="143">
        <v>0</v>
      </c>
      <c r="BH94" s="143">
        <v>0</v>
      </c>
      <c r="BI94" s="143">
        <v>3</v>
      </c>
      <c r="BJ94" s="143">
        <v>2</v>
      </c>
      <c r="BK94" s="143">
        <v>1</v>
      </c>
      <c r="BL94" s="143">
        <v>1</v>
      </c>
      <c r="BM94" s="143">
        <v>2</v>
      </c>
      <c r="BN94" s="143">
        <v>2</v>
      </c>
      <c r="BO94" s="143">
        <v>3</v>
      </c>
      <c r="BP94" s="143">
        <v>3</v>
      </c>
      <c r="BQ94" s="143">
        <v>2</v>
      </c>
      <c r="BR94" s="143">
        <v>1</v>
      </c>
      <c r="BS94" s="143">
        <v>4</v>
      </c>
      <c r="BT94" s="143">
        <v>4</v>
      </c>
      <c r="BU94" s="143">
        <v>0</v>
      </c>
      <c r="BV94" s="143">
        <v>3</v>
      </c>
      <c r="BW94" s="143">
        <v>4</v>
      </c>
      <c r="BX94" s="143">
        <v>7</v>
      </c>
      <c r="BY94" s="143">
        <v>5</v>
      </c>
      <c r="BZ94" s="143">
        <v>4</v>
      </c>
      <c r="CA94" s="143">
        <v>7</v>
      </c>
      <c r="CB94" s="143">
        <v>8</v>
      </c>
      <c r="CC94" s="143">
        <v>7</v>
      </c>
      <c r="CD94" s="143">
        <v>7</v>
      </c>
      <c r="CE94" s="143">
        <v>6</v>
      </c>
      <c r="CF94" s="143">
        <v>6</v>
      </c>
      <c r="CG94" s="143">
        <v>3</v>
      </c>
      <c r="CH94" s="143">
        <v>3</v>
      </c>
      <c r="CI94" s="143">
        <v>6</v>
      </c>
      <c r="CJ94" s="143">
        <v>6</v>
      </c>
      <c r="CK94" s="143">
        <v>4</v>
      </c>
      <c r="CL94" s="143">
        <v>2</v>
      </c>
      <c r="CM94" s="143">
        <v>5</v>
      </c>
      <c r="CN94" s="143">
        <v>12</v>
      </c>
      <c r="CO94" s="143">
        <v>11</v>
      </c>
      <c r="CP94" s="143">
        <v>9</v>
      </c>
      <c r="CQ94" s="143">
        <v>9</v>
      </c>
      <c r="CR94" s="143">
        <v>5</v>
      </c>
      <c r="CS94" s="143">
        <v>5</v>
      </c>
      <c r="CT94" s="143">
        <v>5</v>
      </c>
      <c r="CU94" s="143">
        <v>5</v>
      </c>
      <c r="CV94" s="143">
        <v>5</v>
      </c>
      <c r="CW94" s="143">
        <v>5</v>
      </c>
      <c r="CX94" s="143">
        <v>6</v>
      </c>
      <c r="CY94" s="143">
        <v>5</v>
      </c>
      <c r="CZ94" s="143">
        <v>5</v>
      </c>
      <c r="DA94" s="143">
        <v>11</v>
      </c>
      <c r="DB94" s="143">
        <v>10</v>
      </c>
      <c r="DC94" s="143">
        <v>6</v>
      </c>
      <c r="DD94" s="143">
        <v>7</v>
      </c>
      <c r="DE94" s="143">
        <v>8</v>
      </c>
      <c r="DF94" s="143">
        <v>5</v>
      </c>
      <c r="DG94" s="143">
        <v>2</v>
      </c>
      <c r="DH94" s="143">
        <v>3</v>
      </c>
      <c r="DI94" s="143">
        <v>2</v>
      </c>
      <c r="DJ94" s="143">
        <v>2</v>
      </c>
      <c r="DK94" s="143">
        <v>11</v>
      </c>
      <c r="DL94" s="143">
        <v>4</v>
      </c>
      <c r="DM94" s="143">
        <v>8</v>
      </c>
      <c r="DN94" s="143">
        <v>3</v>
      </c>
      <c r="DO94" s="143">
        <v>3</v>
      </c>
      <c r="DP94" s="143">
        <v>6</v>
      </c>
      <c r="DQ94" s="143">
        <v>3</v>
      </c>
      <c r="DR94" s="143">
        <v>3</v>
      </c>
      <c r="DS94" s="143">
        <v>8</v>
      </c>
      <c r="DT94" s="143">
        <v>4</v>
      </c>
      <c r="DU94" s="143">
        <v>7</v>
      </c>
      <c r="DV94" s="143">
        <v>3</v>
      </c>
      <c r="DW94" s="143">
        <v>6</v>
      </c>
      <c r="DX94" s="143">
        <v>7</v>
      </c>
      <c r="DY94" s="143">
        <v>7</v>
      </c>
      <c r="DZ94" s="143">
        <v>7</v>
      </c>
      <c r="EA94" s="143">
        <v>3</v>
      </c>
      <c r="EB94" s="143">
        <v>4</v>
      </c>
      <c r="EC94" s="143">
        <v>1</v>
      </c>
      <c r="ED94" s="143">
        <v>0</v>
      </c>
      <c r="EE94" s="143">
        <v>1</v>
      </c>
      <c r="EF94" s="143">
        <v>2</v>
      </c>
      <c r="EG94" s="143">
        <v>3</v>
      </c>
      <c r="EH94" s="143">
        <v>8</v>
      </c>
      <c r="EI94" s="143">
        <v>10</v>
      </c>
      <c r="EJ94" s="143">
        <v>10</v>
      </c>
      <c r="EK94" s="143">
        <v>5</v>
      </c>
      <c r="EL94" s="143">
        <v>7</v>
      </c>
      <c r="EM94" s="143">
        <v>5</v>
      </c>
      <c r="EN94" s="143">
        <v>4</v>
      </c>
      <c r="EO94" s="143">
        <v>3</v>
      </c>
      <c r="EP94" s="143">
        <v>7</v>
      </c>
      <c r="EQ94" s="143">
        <v>6</v>
      </c>
      <c r="ER94" s="143">
        <v>8</v>
      </c>
      <c r="ES94" s="143">
        <v>6</v>
      </c>
      <c r="ET94" s="143">
        <v>5</v>
      </c>
      <c r="EU94" s="143">
        <v>9</v>
      </c>
      <c r="EV94" s="143">
        <v>8</v>
      </c>
      <c r="EW94" s="143">
        <v>6</v>
      </c>
      <c r="EX94" s="143">
        <v>9</v>
      </c>
      <c r="EY94" s="143">
        <v>14</v>
      </c>
      <c r="EZ94" s="143">
        <v>15</v>
      </c>
      <c r="FA94" s="143">
        <v>12</v>
      </c>
      <c r="FB94" s="143">
        <v>15</v>
      </c>
      <c r="FC94" s="143">
        <v>17</v>
      </c>
      <c r="FD94" s="143">
        <v>19</v>
      </c>
      <c r="FE94" s="143">
        <v>30</v>
      </c>
      <c r="FF94" s="143">
        <v>28</v>
      </c>
      <c r="FG94" s="143">
        <v>27</v>
      </c>
      <c r="FH94" s="143">
        <v>30</v>
      </c>
      <c r="FI94" s="143">
        <v>26</v>
      </c>
      <c r="FJ94" s="143">
        <v>33</v>
      </c>
      <c r="FK94" s="143">
        <v>33</v>
      </c>
      <c r="FL94" s="143">
        <v>31</v>
      </c>
      <c r="FM94" s="143">
        <v>35</v>
      </c>
      <c r="FN94" s="143">
        <v>43</v>
      </c>
      <c r="FO94" s="143">
        <v>40</v>
      </c>
      <c r="FP94" s="143">
        <v>49</v>
      </c>
      <c r="FQ94" s="143">
        <v>45</v>
      </c>
      <c r="FR94" s="143">
        <v>42</v>
      </c>
      <c r="FS94" s="143">
        <v>48</v>
      </c>
      <c r="FT94" s="143">
        <v>65</v>
      </c>
      <c r="FU94" s="143">
        <v>60</v>
      </c>
      <c r="FV94" s="143">
        <v>55</v>
      </c>
      <c r="FW94" s="143">
        <v>44</v>
      </c>
      <c r="FX94" s="143">
        <v>33</v>
      </c>
      <c r="FY94" s="143">
        <v>31</v>
      </c>
      <c r="FZ94" s="143">
        <v>28</v>
      </c>
      <c r="GA94" s="143">
        <v>30</v>
      </c>
      <c r="GB94" s="143">
        <v>25</v>
      </c>
      <c r="GC94" s="143">
        <v>19</v>
      </c>
      <c r="GD94" s="143">
        <v>26</v>
      </c>
      <c r="GE94" s="143">
        <v>32</v>
      </c>
      <c r="GF94" s="143">
        <v>29</v>
      </c>
      <c r="GG94" s="143">
        <v>33</v>
      </c>
      <c r="GH94" s="143">
        <v>41</v>
      </c>
      <c r="GI94" s="143">
        <v>29</v>
      </c>
      <c r="GJ94" s="143">
        <v>21</v>
      </c>
      <c r="GK94" s="143">
        <v>28</v>
      </c>
      <c r="GL94" s="143">
        <v>33</v>
      </c>
      <c r="GM94" s="143">
        <v>23</v>
      </c>
      <c r="GN94" s="143">
        <v>34</v>
      </c>
      <c r="GO94" s="143">
        <v>23</v>
      </c>
      <c r="GP94" s="143">
        <v>23</v>
      </c>
      <c r="GQ94" s="143">
        <v>32</v>
      </c>
      <c r="GR94" s="143">
        <v>43</v>
      </c>
      <c r="GS94" s="143">
        <f>SUM(B94:GR94)/198</f>
        <v>11.166666666666666</v>
      </c>
      <c r="GT94" s="152"/>
      <c r="GU94" s="12" t="s">
        <v>32</v>
      </c>
      <c r="GV94" s="145" t="s">
        <v>30</v>
      </c>
      <c r="GW94" s="145">
        <f t="shared" ref="GW94:HF96" si="143">(C94-B94)/B94</f>
        <v>-0.83333333333333337</v>
      </c>
      <c r="GX94" s="145">
        <f t="shared" si="143"/>
        <v>3</v>
      </c>
      <c r="GY94" s="145">
        <f t="shared" si="143"/>
        <v>0</v>
      </c>
      <c r="GZ94" s="145">
        <f t="shared" si="143"/>
        <v>0.5</v>
      </c>
      <c r="HA94" s="145">
        <f t="shared" si="143"/>
        <v>1.3333333333333333</v>
      </c>
      <c r="HB94" s="145">
        <f t="shared" si="143"/>
        <v>-0.2857142857142857</v>
      </c>
      <c r="HC94" s="145">
        <f t="shared" si="143"/>
        <v>-0.6</v>
      </c>
      <c r="HD94" s="145">
        <f t="shared" si="143"/>
        <v>0.25</v>
      </c>
      <c r="HE94" s="145">
        <f t="shared" si="143"/>
        <v>0</v>
      </c>
      <c r="HF94" s="145">
        <f t="shared" si="143"/>
        <v>0.4</v>
      </c>
      <c r="HG94" s="145">
        <f t="shared" ref="HG94:HP96" si="144">(M94-L94)/L94</f>
        <v>0.2857142857142857</v>
      </c>
      <c r="HH94" s="145">
        <f t="shared" si="144"/>
        <v>-0.22222222222222221</v>
      </c>
      <c r="HI94" s="145">
        <f t="shared" si="144"/>
        <v>0.14285714285714285</v>
      </c>
      <c r="HJ94" s="145">
        <f t="shared" si="144"/>
        <v>-0.375</v>
      </c>
      <c r="HK94" s="145">
        <f t="shared" si="144"/>
        <v>0</v>
      </c>
      <c r="HL94" s="145">
        <f t="shared" si="144"/>
        <v>0.4</v>
      </c>
      <c r="HM94" s="145">
        <f t="shared" si="144"/>
        <v>0</v>
      </c>
      <c r="HN94" s="145">
        <f t="shared" si="144"/>
        <v>0</v>
      </c>
      <c r="HO94" s="145">
        <f t="shared" si="144"/>
        <v>-0.2857142857142857</v>
      </c>
      <c r="HP94" s="145">
        <f t="shared" si="144"/>
        <v>0</v>
      </c>
      <c r="HQ94" s="145">
        <f t="shared" ref="HQ94:HZ96" si="145">(W94-V94)/V94</f>
        <v>0</v>
      </c>
      <c r="HR94" s="145">
        <f t="shared" si="145"/>
        <v>-0.4</v>
      </c>
      <c r="HS94" s="145">
        <f t="shared" si="145"/>
        <v>-0.33333333333333331</v>
      </c>
      <c r="HT94" s="145">
        <f t="shared" si="145"/>
        <v>0.5</v>
      </c>
      <c r="HU94" s="145">
        <f t="shared" si="145"/>
        <v>-0.33333333333333331</v>
      </c>
      <c r="HV94" s="145">
        <f t="shared" si="145"/>
        <v>-0.5</v>
      </c>
      <c r="HW94" s="145">
        <f t="shared" si="145"/>
        <v>2</v>
      </c>
      <c r="HX94" s="145">
        <f t="shared" si="145"/>
        <v>0.33333333333333331</v>
      </c>
      <c r="HY94" s="145">
        <f t="shared" si="145"/>
        <v>-1</v>
      </c>
      <c r="HZ94" s="145" t="e">
        <f t="shared" si="145"/>
        <v>#DIV/0!</v>
      </c>
      <c r="IA94" s="145">
        <f t="shared" ref="IA94:IJ96" si="146">(AG94-AF94)/AF94</f>
        <v>0.5</v>
      </c>
      <c r="IB94" s="145">
        <f t="shared" si="146"/>
        <v>0</v>
      </c>
      <c r="IC94" s="145">
        <f t="shared" si="146"/>
        <v>-0.33333333333333331</v>
      </c>
      <c r="ID94" s="145">
        <f t="shared" si="146"/>
        <v>-0.25</v>
      </c>
      <c r="IE94" s="145">
        <f t="shared" si="146"/>
        <v>1</v>
      </c>
      <c r="IF94" s="145">
        <f t="shared" si="146"/>
        <v>-0.33333333333333331</v>
      </c>
      <c r="IG94" s="145">
        <f t="shared" si="146"/>
        <v>0.5</v>
      </c>
      <c r="IH94" s="145">
        <f t="shared" si="146"/>
        <v>0.16666666666666666</v>
      </c>
      <c r="II94" s="145">
        <f t="shared" si="146"/>
        <v>-0.7142857142857143</v>
      </c>
      <c r="IJ94" s="145">
        <f t="shared" si="146"/>
        <v>0.5</v>
      </c>
      <c r="IK94" s="145">
        <f t="shared" ref="IK94:IT96" si="147">(AQ94-AP94)/AP94</f>
        <v>0.33333333333333331</v>
      </c>
      <c r="IL94" s="145">
        <f t="shared" si="147"/>
        <v>0.25</v>
      </c>
      <c r="IM94" s="145">
        <f t="shared" si="147"/>
        <v>0.2</v>
      </c>
      <c r="IN94" s="145">
        <f t="shared" si="147"/>
        <v>0.16666666666666666</v>
      </c>
      <c r="IO94" s="145">
        <f t="shared" si="147"/>
        <v>-0.7142857142857143</v>
      </c>
      <c r="IP94" s="145">
        <f t="shared" si="147"/>
        <v>0</v>
      </c>
      <c r="IQ94" s="145">
        <f t="shared" si="147"/>
        <v>0</v>
      </c>
      <c r="IR94" s="145">
        <f t="shared" si="147"/>
        <v>-0.5</v>
      </c>
      <c r="IS94" s="145">
        <f t="shared" si="147"/>
        <v>1</v>
      </c>
      <c r="IT94" s="145">
        <f t="shared" si="147"/>
        <v>0</v>
      </c>
      <c r="IU94" s="145">
        <f t="shared" ref="IU94:JD96" si="148">(BA94-AZ94)/AZ94</f>
        <v>-0.5</v>
      </c>
      <c r="IV94" s="145">
        <f t="shared" si="148"/>
        <v>1</v>
      </c>
      <c r="IW94" s="145">
        <f t="shared" si="148"/>
        <v>0.5</v>
      </c>
      <c r="IX94" s="145">
        <f t="shared" si="148"/>
        <v>0</v>
      </c>
      <c r="IY94" s="145">
        <f t="shared" si="148"/>
        <v>1.3333333333333333</v>
      </c>
      <c r="IZ94" s="145">
        <f t="shared" si="148"/>
        <v>-0.8571428571428571</v>
      </c>
      <c r="JA94" s="145">
        <f t="shared" si="148"/>
        <v>-1</v>
      </c>
      <c r="JB94" s="145" t="e">
        <f t="shared" si="148"/>
        <v>#DIV/0!</v>
      </c>
      <c r="JC94" s="145" t="e">
        <f t="shared" si="148"/>
        <v>#DIV/0!</v>
      </c>
      <c r="JD94" s="145">
        <f t="shared" si="148"/>
        <v>-0.33333333333333331</v>
      </c>
      <c r="JE94" s="145">
        <f t="shared" ref="JE94:JN96" si="149">(BK94-BJ94)/BJ94</f>
        <v>-0.5</v>
      </c>
      <c r="JF94" s="145">
        <f t="shared" si="149"/>
        <v>0</v>
      </c>
      <c r="JG94" s="145">
        <f t="shared" si="149"/>
        <v>1</v>
      </c>
      <c r="JH94" s="145">
        <f t="shared" si="149"/>
        <v>0</v>
      </c>
      <c r="JI94" s="145">
        <f t="shared" si="149"/>
        <v>0.5</v>
      </c>
      <c r="JJ94" s="145">
        <f t="shared" si="149"/>
        <v>0</v>
      </c>
      <c r="JK94" s="145">
        <f t="shared" si="149"/>
        <v>-0.33333333333333331</v>
      </c>
      <c r="JL94" s="145">
        <f t="shared" si="149"/>
        <v>-0.5</v>
      </c>
      <c r="JM94" s="145">
        <f t="shared" si="149"/>
        <v>3</v>
      </c>
      <c r="JN94" s="145">
        <f t="shared" si="149"/>
        <v>0</v>
      </c>
      <c r="JO94" s="145">
        <f t="shared" ref="JO94:JX96" si="150">(BU94-BT94)/BT94</f>
        <v>-1</v>
      </c>
      <c r="JP94" s="145" t="e">
        <f t="shared" si="150"/>
        <v>#DIV/0!</v>
      </c>
      <c r="JQ94" s="145">
        <f t="shared" si="150"/>
        <v>0.33333333333333331</v>
      </c>
      <c r="JR94" s="145">
        <f t="shared" si="150"/>
        <v>0.75</v>
      </c>
      <c r="JS94" s="145">
        <f t="shared" si="150"/>
        <v>-0.2857142857142857</v>
      </c>
      <c r="JT94" s="145">
        <f t="shared" si="150"/>
        <v>-0.2</v>
      </c>
      <c r="JU94" s="145">
        <f t="shared" si="150"/>
        <v>0.75</v>
      </c>
      <c r="JV94" s="145">
        <f t="shared" si="150"/>
        <v>0.14285714285714285</v>
      </c>
      <c r="JW94" s="145">
        <f t="shared" si="150"/>
        <v>-0.125</v>
      </c>
      <c r="JX94" s="145">
        <f t="shared" si="150"/>
        <v>0</v>
      </c>
      <c r="JY94" s="145">
        <f t="shared" ref="JY94:KH96" si="151">(CE94-CD94)/CD94</f>
        <v>-0.14285714285714285</v>
      </c>
      <c r="JZ94" s="145">
        <f t="shared" si="151"/>
        <v>0</v>
      </c>
      <c r="KA94" s="145">
        <f t="shared" si="151"/>
        <v>-0.5</v>
      </c>
      <c r="KB94" s="145">
        <f t="shared" si="151"/>
        <v>0</v>
      </c>
      <c r="KC94" s="145">
        <f t="shared" si="151"/>
        <v>1</v>
      </c>
      <c r="KD94" s="145">
        <f t="shared" si="151"/>
        <v>0</v>
      </c>
      <c r="KE94" s="145">
        <f t="shared" si="151"/>
        <v>-0.33333333333333331</v>
      </c>
      <c r="KF94" s="145">
        <f t="shared" si="151"/>
        <v>-0.5</v>
      </c>
      <c r="KG94" s="145">
        <f t="shared" si="151"/>
        <v>1.5</v>
      </c>
      <c r="KH94" s="145">
        <f t="shared" si="151"/>
        <v>1.4</v>
      </c>
      <c r="KI94" s="145">
        <f t="shared" ref="KI94:KR96" si="152">(CO94-CN94)/CN94</f>
        <v>-8.3333333333333329E-2</v>
      </c>
      <c r="KJ94" s="145">
        <f t="shared" si="152"/>
        <v>-0.18181818181818182</v>
      </c>
      <c r="KK94" s="145">
        <f t="shared" si="152"/>
        <v>0</v>
      </c>
      <c r="KL94" s="145">
        <f t="shared" si="152"/>
        <v>-0.44444444444444442</v>
      </c>
      <c r="KM94" s="145">
        <f t="shared" si="152"/>
        <v>0</v>
      </c>
      <c r="KN94" s="145">
        <f t="shared" si="152"/>
        <v>0</v>
      </c>
      <c r="KO94" s="145">
        <f t="shared" si="152"/>
        <v>0</v>
      </c>
      <c r="KP94" s="145">
        <f t="shared" si="152"/>
        <v>0</v>
      </c>
      <c r="KQ94" s="145">
        <f t="shared" si="152"/>
        <v>0</v>
      </c>
      <c r="KR94" s="145">
        <f t="shared" si="152"/>
        <v>0.2</v>
      </c>
      <c r="KS94" s="145">
        <f t="shared" ref="KS94:LB96" si="153">(CY94-CX94)/CX94</f>
        <v>-0.16666666666666666</v>
      </c>
      <c r="KT94" s="145">
        <f t="shared" si="153"/>
        <v>0</v>
      </c>
      <c r="KU94" s="145">
        <f t="shared" si="153"/>
        <v>1.2</v>
      </c>
      <c r="KV94" s="145">
        <f t="shared" si="153"/>
        <v>-9.0909090909090912E-2</v>
      </c>
      <c r="KW94" s="145">
        <f t="shared" si="153"/>
        <v>-0.4</v>
      </c>
      <c r="KX94" s="145">
        <f t="shared" si="153"/>
        <v>0.16666666666666666</v>
      </c>
      <c r="KY94" s="145">
        <f t="shared" si="153"/>
        <v>0.14285714285714285</v>
      </c>
      <c r="KZ94" s="145">
        <f t="shared" si="153"/>
        <v>-0.375</v>
      </c>
      <c r="LA94" s="145">
        <f t="shared" si="153"/>
        <v>-0.6</v>
      </c>
      <c r="LB94" s="145">
        <f t="shared" si="153"/>
        <v>0.5</v>
      </c>
      <c r="LC94" s="145">
        <f t="shared" ref="LC94:LD96" si="154">(DI94-DH94)/DH94</f>
        <v>-0.33333333333333331</v>
      </c>
      <c r="LD94" s="145">
        <f t="shared" si="154"/>
        <v>0</v>
      </c>
      <c r="LE94" s="145">
        <f t="shared" si="139"/>
        <v>4.5</v>
      </c>
      <c r="LF94" s="145">
        <f t="shared" si="139"/>
        <v>-0.63636363636363635</v>
      </c>
      <c r="LG94" s="145">
        <f t="shared" si="139"/>
        <v>1</v>
      </c>
      <c r="LH94" s="145">
        <f t="shared" si="139"/>
        <v>-0.625</v>
      </c>
      <c r="LI94" s="145">
        <f t="shared" si="139"/>
        <v>0</v>
      </c>
      <c r="LJ94" s="145">
        <f t="shared" si="139"/>
        <v>1</v>
      </c>
      <c r="LK94" s="145">
        <f t="shared" si="139"/>
        <v>-0.5</v>
      </c>
      <c r="LL94" s="145">
        <f t="shared" si="139"/>
        <v>0</v>
      </c>
      <c r="LM94" s="145">
        <f t="shared" si="139"/>
        <v>1.6666666666666667</v>
      </c>
      <c r="LN94" s="145">
        <f t="shared" si="139"/>
        <v>-0.5</v>
      </c>
      <c r="LO94" s="145">
        <f t="shared" si="140"/>
        <v>0.75</v>
      </c>
      <c r="LP94" s="145">
        <f t="shared" si="140"/>
        <v>-0.5714285714285714</v>
      </c>
      <c r="LQ94" s="145">
        <f t="shared" si="140"/>
        <v>1</v>
      </c>
      <c r="LR94" s="145">
        <f t="shared" si="140"/>
        <v>0.16666666666666666</v>
      </c>
      <c r="LS94" s="145">
        <f t="shared" si="140"/>
        <v>0</v>
      </c>
      <c r="LT94" s="145">
        <f t="shared" si="140"/>
        <v>0</v>
      </c>
      <c r="LU94" s="145">
        <f t="shared" si="140"/>
        <v>-0.5714285714285714</v>
      </c>
      <c r="LV94" s="145">
        <f t="shared" si="140"/>
        <v>0.33333333333333331</v>
      </c>
      <c r="LW94" s="145">
        <f t="shared" si="140"/>
        <v>-0.75</v>
      </c>
      <c r="LX94" s="145">
        <f t="shared" si="140"/>
        <v>-1</v>
      </c>
      <c r="LY94" s="145" t="e">
        <f t="shared" si="141"/>
        <v>#DIV/0!</v>
      </c>
      <c r="LZ94" s="145">
        <f t="shared" si="141"/>
        <v>1</v>
      </c>
      <c r="MA94" s="145">
        <f t="shared" si="141"/>
        <v>0.5</v>
      </c>
      <c r="MB94" s="145">
        <f t="shared" si="141"/>
        <v>1.6666666666666667</v>
      </c>
      <c r="MC94" s="145">
        <f t="shared" si="141"/>
        <v>0.25</v>
      </c>
      <c r="MD94" s="145">
        <f t="shared" si="141"/>
        <v>0</v>
      </c>
      <c r="ME94" s="145">
        <f t="shared" si="141"/>
        <v>-0.5</v>
      </c>
      <c r="MF94" s="145">
        <f t="shared" si="141"/>
        <v>0.4</v>
      </c>
      <c r="MG94" s="145">
        <f t="shared" si="141"/>
        <v>-0.2857142857142857</v>
      </c>
      <c r="MH94" s="145">
        <f t="shared" si="141"/>
        <v>-0.2</v>
      </c>
      <c r="MI94" s="145">
        <f t="shared" si="142"/>
        <v>-0.25</v>
      </c>
      <c r="MJ94" s="145">
        <f t="shared" si="142"/>
        <v>1.3333333333333333</v>
      </c>
      <c r="MK94" s="145">
        <f t="shared" si="142"/>
        <v>-0.14285714285714285</v>
      </c>
      <c r="ML94" s="145">
        <f t="shared" si="142"/>
        <v>0.33333333333333331</v>
      </c>
      <c r="MM94" s="145">
        <f t="shared" si="142"/>
        <v>-0.25</v>
      </c>
      <c r="MN94" s="145">
        <f t="shared" si="142"/>
        <v>-0.16666666666666666</v>
      </c>
      <c r="MO94" s="145">
        <f t="shared" si="142"/>
        <v>0.8</v>
      </c>
      <c r="MP94" s="145">
        <f t="shared" si="142"/>
        <v>-0.1111111111111111</v>
      </c>
      <c r="MQ94" s="145">
        <f t="shared" si="142"/>
        <v>-0.25</v>
      </c>
      <c r="MR94" s="145">
        <f t="shared" si="142"/>
        <v>0.5</v>
      </c>
      <c r="MS94" s="145">
        <f>(EZ94-EY94)/EY94</f>
        <v>7.1428571428571425E-2</v>
      </c>
      <c r="MT94" s="145">
        <f t="shared" si="135"/>
        <v>6.6666666666666666E-2</v>
      </c>
      <c r="MU94" s="145">
        <f t="shared" si="135"/>
        <v>-0.25</v>
      </c>
      <c r="MV94" s="145">
        <f t="shared" si="135"/>
        <v>0.2</v>
      </c>
      <c r="MW94" s="145">
        <f t="shared" si="135"/>
        <v>0.11764705882352941</v>
      </c>
      <c r="MX94" s="145">
        <f t="shared" si="135"/>
        <v>0.10526315789473684</v>
      </c>
      <c r="MY94" s="145">
        <f t="shared" si="135"/>
        <v>0.36666666666666664</v>
      </c>
      <c r="MZ94" s="145">
        <f t="shared" si="135"/>
        <v>-7.1428571428571425E-2</v>
      </c>
      <c r="NA94" s="145">
        <f t="shared" si="135"/>
        <v>-3.7037037037037035E-2</v>
      </c>
      <c r="NB94" s="145">
        <f t="shared" si="135"/>
        <v>0.1</v>
      </c>
      <c r="NC94" s="145">
        <f t="shared" si="135"/>
        <v>-0.15384615384615385</v>
      </c>
      <c r="ND94" s="145">
        <f t="shared" si="136"/>
        <v>0.21212121212121213</v>
      </c>
      <c r="NE94" s="145">
        <f t="shared" si="136"/>
        <v>0</v>
      </c>
      <c r="NF94" s="145">
        <f t="shared" si="136"/>
        <v>-6.4516129032258063E-2</v>
      </c>
      <c r="NG94" s="145">
        <f t="shared" si="136"/>
        <v>0.11428571428571428</v>
      </c>
      <c r="NH94" s="145">
        <f t="shared" si="136"/>
        <v>0.18604651162790697</v>
      </c>
      <c r="NI94" s="145">
        <f t="shared" si="136"/>
        <v>-7.4999999999999997E-2</v>
      </c>
      <c r="NJ94" s="145">
        <f t="shared" si="136"/>
        <v>0.18367346938775511</v>
      </c>
      <c r="NK94" s="145">
        <f t="shared" si="136"/>
        <v>-8.8888888888888892E-2</v>
      </c>
      <c r="NL94" s="145">
        <f t="shared" si="136"/>
        <v>-7.1428571428571425E-2</v>
      </c>
      <c r="NM94" s="145">
        <f t="shared" si="136"/>
        <v>0.125</v>
      </c>
      <c r="NN94" s="145">
        <f t="shared" si="137"/>
        <v>0.26153846153846155</v>
      </c>
      <c r="NO94" s="145">
        <f t="shared" si="137"/>
        <v>-8.3333333333333329E-2</v>
      </c>
      <c r="NP94" s="145">
        <f t="shared" si="137"/>
        <v>-9.0909090909090912E-2</v>
      </c>
      <c r="NQ94" s="145">
        <f t="shared" si="137"/>
        <v>-0.25</v>
      </c>
      <c r="NR94" s="145">
        <f t="shared" si="137"/>
        <v>-0.33333333333333331</v>
      </c>
      <c r="NS94" s="145">
        <f t="shared" si="137"/>
        <v>-6.4516129032258063E-2</v>
      </c>
      <c r="NT94" s="145">
        <f t="shared" si="137"/>
        <v>-0.10714285714285714</v>
      </c>
      <c r="NU94" s="145">
        <f t="shared" si="137"/>
        <v>6.6666666666666666E-2</v>
      </c>
      <c r="NV94" s="145">
        <f t="shared" si="137"/>
        <v>-0.2</v>
      </c>
      <c r="NW94" s="145">
        <f t="shared" si="137"/>
        <v>-0.31578947368421051</v>
      </c>
      <c r="NX94" s="145">
        <f t="shared" si="138"/>
        <v>0.26923076923076922</v>
      </c>
      <c r="NY94" s="145">
        <f t="shared" si="138"/>
        <v>0.1875</v>
      </c>
      <c r="NZ94" s="145">
        <f t="shared" si="138"/>
        <v>-0.10344827586206896</v>
      </c>
      <c r="OA94" s="145">
        <f t="shared" si="138"/>
        <v>0.12121212121212122</v>
      </c>
      <c r="OB94" s="145">
        <f t="shared" si="138"/>
        <v>0.1951219512195122</v>
      </c>
      <c r="OC94" s="145">
        <f t="shared" si="138"/>
        <v>-0.41379310344827586</v>
      </c>
      <c r="OD94" s="145">
        <f t="shared" si="138"/>
        <v>-0.38095238095238093</v>
      </c>
      <c r="OE94" s="145">
        <f t="shared" si="138"/>
        <v>0.25</v>
      </c>
      <c r="OF94" s="145">
        <f t="shared" si="138"/>
        <v>0.15151515151515152</v>
      </c>
      <c r="OG94" s="145">
        <f t="shared" si="138"/>
        <v>-0.43478260869565216</v>
      </c>
      <c r="OH94" s="145">
        <f t="shared" si="138"/>
        <v>0.3235294117647059</v>
      </c>
      <c r="OI94" s="145">
        <f t="shared" si="138"/>
        <v>-0.47826086956521741</v>
      </c>
      <c r="OJ94" s="145">
        <f t="shared" si="138"/>
        <v>0</v>
      </c>
      <c r="OK94" s="145">
        <f t="shared" si="138"/>
        <v>0.28125</v>
      </c>
      <c r="OL94" s="145">
        <f t="shared" si="138"/>
        <v>0.2558139534883721</v>
      </c>
    </row>
    <row r="95" spans="1:402" s="145" customFormat="1" ht="19.5" customHeight="1" x14ac:dyDescent="0.35">
      <c r="A95" s="12" t="s">
        <v>33</v>
      </c>
      <c r="B95" s="156">
        <v>2</v>
      </c>
      <c r="C95" s="156">
        <v>4</v>
      </c>
      <c r="D95" s="156">
        <v>1</v>
      </c>
      <c r="E95" s="156">
        <v>2</v>
      </c>
      <c r="F95" s="156">
        <f>'[1]Jan 08'!C41</f>
        <v>2</v>
      </c>
      <c r="G95" s="143">
        <f>'[1]Feb 08'!C41</f>
        <v>4</v>
      </c>
      <c r="H95" s="143">
        <f>'[1]Mar 08'!C41</f>
        <v>8</v>
      </c>
      <c r="I95" s="143">
        <v>11</v>
      </c>
      <c r="J95" s="143">
        <f>'[1]May 08'!C41</f>
        <v>4</v>
      </c>
      <c r="K95" s="143">
        <f>'[1]Jun 08'!C41</f>
        <v>3</v>
      </c>
      <c r="L95" s="143">
        <f>'[1]Jul 08'!C41</f>
        <v>2</v>
      </c>
      <c r="M95" s="143">
        <f>'[1]Aug 08'!C41</f>
        <v>4</v>
      </c>
      <c r="N95" s="143">
        <v>6</v>
      </c>
      <c r="O95" s="143">
        <v>1</v>
      </c>
      <c r="P95" s="143">
        <v>7</v>
      </c>
      <c r="Q95" s="143">
        <v>7</v>
      </c>
      <c r="R95" s="143">
        <v>2</v>
      </c>
      <c r="S95" s="143">
        <v>3</v>
      </c>
      <c r="T95" s="143">
        <v>6</v>
      </c>
      <c r="U95" s="143">
        <v>5</v>
      </c>
      <c r="V95" s="143">
        <v>4</v>
      </c>
      <c r="W95" s="143">
        <v>2</v>
      </c>
      <c r="X95" s="143">
        <v>2</v>
      </c>
      <c r="Y95" s="143">
        <v>2</v>
      </c>
      <c r="Z95" s="143">
        <v>0</v>
      </c>
      <c r="AA95" s="143">
        <v>3</v>
      </c>
      <c r="AB95" s="143">
        <v>2</v>
      </c>
      <c r="AC95" s="143">
        <v>1</v>
      </c>
      <c r="AD95" s="143">
        <v>4</v>
      </c>
      <c r="AE95" s="143">
        <v>3</v>
      </c>
      <c r="AF95" s="143">
        <v>2</v>
      </c>
      <c r="AG95" s="143">
        <v>4</v>
      </c>
      <c r="AH95" s="143">
        <v>6</v>
      </c>
      <c r="AI95" s="143">
        <v>4</v>
      </c>
      <c r="AJ95" s="143">
        <v>3</v>
      </c>
      <c r="AK95" s="143">
        <v>2</v>
      </c>
      <c r="AL95" s="143">
        <v>2</v>
      </c>
      <c r="AM95" s="143">
        <v>1</v>
      </c>
      <c r="AN95" s="143">
        <v>1</v>
      </c>
      <c r="AO95" s="143">
        <v>7</v>
      </c>
      <c r="AP95" s="143">
        <v>1</v>
      </c>
      <c r="AQ95" s="143">
        <v>2</v>
      </c>
      <c r="AR95" s="143">
        <v>4</v>
      </c>
      <c r="AS95" s="143">
        <v>3</v>
      </c>
      <c r="AT95" s="143">
        <v>4</v>
      </c>
      <c r="AU95" s="143">
        <v>7</v>
      </c>
      <c r="AV95" s="143">
        <v>0</v>
      </c>
      <c r="AW95" s="143">
        <v>1</v>
      </c>
      <c r="AX95" s="143">
        <v>2</v>
      </c>
      <c r="AY95" s="143">
        <v>3</v>
      </c>
      <c r="AZ95" s="143">
        <v>2</v>
      </c>
      <c r="BA95" s="143">
        <v>4</v>
      </c>
      <c r="BB95" s="143">
        <v>0</v>
      </c>
      <c r="BC95" s="143">
        <v>1</v>
      </c>
      <c r="BD95" s="143">
        <v>3</v>
      </c>
      <c r="BE95" s="143">
        <v>1</v>
      </c>
      <c r="BF95" s="143">
        <v>8</v>
      </c>
      <c r="BG95" s="143">
        <v>3</v>
      </c>
      <c r="BH95" s="143">
        <v>1</v>
      </c>
      <c r="BI95" s="143">
        <v>2</v>
      </c>
      <c r="BJ95" s="143">
        <v>1</v>
      </c>
      <c r="BK95" s="143">
        <v>2</v>
      </c>
      <c r="BL95" s="143">
        <v>2</v>
      </c>
      <c r="BM95" s="143">
        <v>4</v>
      </c>
      <c r="BN95" s="143">
        <v>0</v>
      </c>
      <c r="BO95" s="143">
        <v>2</v>
      </c>
      <c r="BP95" s="143">
        <v>2</v>
      </c>
      <c r="BQ95" s="143">
        <v>3</v>
      </c>
      <c r="BR95" s="143">
        <v>2</v>
      </c>
      <c r="BS95" s="143">
        <v>0</v>
      </c>
      <c r="BT95" s="143">
        <v>3</v>
      </c>
      <c r="BU95" s="143">
        <v>4</v>
      </c>
      <c r="BV95" s="143">
        <v>2</v>
      </c>
      <c r="BW95" s="143">
        <v>3</v>
      </c>
      <c r="BX95" s="143">
        <v>2</v>
      </c>
      <c r="BY95" s="143">
        <v>3</v>
      </c>
      <c r="BZ95" s="143">
        <v>4</v>
      </c>
      <c r="CA95" s="143">
        <v>1</v>
      </c>
      <c r="CB95" s="143">
        <v>3</v>
      </c>
      <c r="CC95" s="143">
        <v>4</v>
      </c>
      <c r="CD95" s="143">
        <v>5</v>
      </c>
      <c r="CE95" s="143">
        <v>4</v>
      </c>
      <c r="CF95" s="143">
        <v>1</v>
      </c>
      <c r="CG95" s="143">
        <v>5</v>
      </c>
      <c r="CH95" s="143">
        <v>3</v>
      </c>
      <c r="CI95" s="143">
        <v>1</v>
      </c>
      <c r="CJ95" s="143">
        <v>3</v>
      </c>
      <c r="CK95" s="143">
        <v>6</v>
      </c>
      <c r="CL95" s="143">
        <v>3</v>
      </c>
      <c r="CM95" s="143">
        <v>4</v>
      </c>
      <c r="CN95" s="143">
        <v>3</v>
      </c>
      <c r="CO95" s="143">
        <v>10</v>
      </c>
      <c r="CP95" s="143">
        <v>6</v>
      </c>
      <c r="CQ95" s="143">
        <v>8</v>
      </c>
      <c r="CR95" s="143">
        <v>1</v>
      </c>
      <c r="CS95" s="143">
        <v>0</v>
      </c>
      <c r="CT95" s="143">
        <v>2</v>
      </c>
      <c r="CU95" s="143">
        <v>2</v>
      </c>
      <c r="CV95" s="143">
        <v>5</v>
      </c>
      <c r="CW95" s="143">
        <v>3</v>
      </c>
      <c r="CX95" s="143">
        <v>6</v>
      </c>
      <c r="CY95" s="143">
        <v>3</v>
      </c>
      <c r="CZ95" s="143">
        <v>5</v>
      </c>
      <c r="DA95" s="143">
        <v>2</v>
      </c>
      <c r="DB95" s="143">
        <v>7</v>
      </c>
      <c r="DC95" s="143">
        <v>4</v>
      </c>
      <c r="DD95" s="143">
        <v>4</v>
      </c>
      <c r="DE95" s="143">
        <v>3</v>
      </c>
      <c r="DF95" s="143">
        <v>4</v>
      </c>
      <c r="DG95" s="143">
        <v>7</v>
      </c>
      <c r="DH95" s="143">
        <v>2</v>
      </c>
      <c r="DI95" s="143">
        <v>2</v>
      </c>
      <c r="DJ95" s="143">
        <v>1</v>
      </c>
      <c r="DK95" s="143">
        <v>13</v>
      </c>
      <c r="DL95" s="143">
        <v>7</v>
      </c>
      <c r="DM95" s="143">
        <v>10</v>
      </c>
      <c r="DN95" s="143">
        <v>12</v>
      </c>
      <c r="DO95" s="143">
        <v>6</v>
      </c>
      <c r="DP95" s="143">
        <v>1</v>
      </c>
      <c r="DQ95" s="143">
        <v>5</v>
      </c>
      <c r="DR95" s="143">
        <v>2</v>
      </c>
      <c r="DS95" s="143">
        <v>2</v>
      </c>
      <c r="DT95" s="143">
        <v>7</v>
      </c>
      <c r="DU95" s="143">
        <v>3</v>
      </c>
      <c r="DV95" s="143">
        <v>7</v>
      </c>
      <c r="DW95" s="143">
        <v>2</v>
      </c>
      <c r="DX95" s="143">
        <v>5</v>
      </c>
      <c r="DY95" s="143">
        <v>7</v>
      </c>
      <c r="DZ95" s="143">
        <v>16</v>
      </c>
      <c r="EA95" s="143">
        <v>8</v>
      </c>
      <c r="EB95" s="143">
        <v>2</v>
      </c>
      <c r="EC95" s="143">
        <v>3</v>
      </c>
      <c r="ED95" s="143">
        <v>3</v>
      </c>
      <c r="EE95" s="143">
        <v>2</v>
      </c>
      <c r="EF95" s="143">
        <v>2</v>
      </c>
      <c r="EG95" s="143">
        <v>3</v>
      </c>
      <c r="EH95" s="143">
        <v>2</v>
      </c>
      <c r="EI95" s="143">
        <v>8</v>
      </c>
      <c r="EJ95" s="143">
        <v>8</v>
      </c>
      <c r="EK95" s="143">
        <v>10</v>
      </c>
      <c r="EL95" s="143">
        <v>12</v>
      </c>
      <c r="EM95" s="143">
        <v>10</v>
      </c>
      <c r="EN95" s="143">
        <v>3</v>
      </c>
      <c r="EO95" s="143">
        <v>2</v>
      </c>
      <c r="EP95" s="143">
        <v>0</v>
      </c>
      <c r="EQ95" s="143">
        <v>6</v>
      </c>
      <c r="ER95" s="143">
        <v>6</v>
      </c>
      <c r="ES95" s="143">
        <v>9</v>
      </c>
      <c r="ET95" s="143">
        <v>9</v>
      </c>
      <c r="EU95" s="143">
        <v>9</v>
      </c>
      <c r="EV95" s="143">
        <v>9</v>
      </c>
      <c r="EW95" s="143">
        <v>6</v>
      </c>
      <c r="EX95" s="143">
        <v>3</v>
      </c>
      <c r="EY95" s="143">
        <v>7</v>
      </c>
      <c r="EZ95" s="143">
        <v>12</v>
      </c>
      <c r="FA95" s="143">
        <v>14</v>
      </c>
      <c r="FB95" s="143">
        <v>13</v>
      </c>
      <c r="FC95" s="143">
        <v>15</v>
      </c>
      <c r="FD95" s="143">
        <v>24</v>
      </c>
      <c r="FE95" s="143">
        <v>23</v>
      </c>
      <c r="FF95" s="143">
        <v>30</v>
      </c>
      <c r="FG95" s="143">
        <v>32</v>
      </c>
      <c r="FH95" s="143">
        <v>32</v>
      </c>
      <c r="FI95" s="143">
        <v>23</v>
      </c>
      <c r="FJ95" s="143">
        <v>33</v>
      </c>
      <c r="FK95" s="143">
        <v>29</v>
      </c>
      <c r="FL95" s="143">
        <v>24</v>
      </c>
      <c r="FM95" s="143">
        <v>13</v>
      </c>
      <c r="FN95" s="143">
        <v>19</v>
      </c>
      <c r="FO95" s="143">
        <v>24</v>
      </c>
      <c r="FP95" s="143">
        <v>18</v>
      </c>
      <c r="FQ95" s="143">
        <v>34</v>
      </c>
      <c r="FR95" s="143">
        <v>23</v>
      </c>
      <c r="FS95" s="143">
        <v>28</v>
      </c>
      <c r="FT95" s="143">
        <v>37</v>
      </c>
      <c r="FU95" s="143">
        <v>39</v>
      </c>
      <c r="FV95" s="143">
        <v>42</v>
      </c>
      <c r="FW95" s="143">
        <v>33</v>
      </c>
      <c r="FX95" s="143">
        <v>20</v>
      </c>
      <c r="FY95" s="143">
        <v>32</v>
      </c>
      <c r="FZ95" s="143">
        <v>12</v>
      </c>
      <c r="GA95" s="143">
        <v>21</v>
      </c>
      <c r="GB95" s="143">
        <v>22</v>
      </c>
      <c r="GC95" s="143">
        <v>17</v>
      </c>
      <c r="GD95" s="143">
        <v>13</v>
      </c>
      <c r="GE95" s="143">
        <v>23</v>
      </c>
      <c r="GF95" s="143">
        <v>36</v>
      </c>
      <c r="GG95" s="143">
        <v>20</v>
      </c>
      <c r="GH95" s="143">
        <v>40</v>
      </c>
      <c r="GI95" s="143">
        <v>44</v>
      </c>
      <c r="GJ95" s="143">
        <v>25</v>
      </c>
      <c r="GK95" s="143">
        <v>19</v>
      </c>
      <c r="GL95" s="143">
        <v>19</v>
      </c>
      <c r="GM95" s="143">
        <v>29</v>
      </c>
      <c r="GN95" s="143">
        <v>16</v>
      </c>
      <c r="GO95" s="143">
        <v>34</v>
      </c>
      <c r="GP95" s="143">
        <v>21</v>
      </c>
      <c r="GQ95" s="143">
        <v>21</v>
      </c>
      <c r="GR95" s="143">
        <v>36</v>
      </c>
      <c r="GS95" s="143">
        <f>SUM(B95:GR95)/198</f>
        <v>8.808080808080808</v>
      </c>
      <c r="GT95" s="152"/>
      <c r="GU95" s="12" t="s">
        <v>33</v>
      </c>
      <c r="GV95" s="145" t="s">
        <v>30</v>
      </c>
      <c r="GW95" s="145">
        <f t="shared" si="143"/>
        <v>1</v>
      </c>
      <c r="GX95" s="145">
        <f t="shared" si="143"/>
        <v>-0.75</v>
      </c>
      <c r="GY95" s="145">
        <f t="shared" si="143"/>
        <v>1</v>
      </c>
      <c r="GZ95" s="145">
        <f t="shared" si="143"/>
        <v>0</v>
      </c>
      <c r="HA95" s="145">
        <f t="shared" si="143"/>
        <v>1</v>
      </c>
      <c r="HB95" s="145">
        <f t="shared" si="143"/>
        <v>1</v>
      </c>
      <c r="HC95" s="145">
        <f t="shared" si="143"/>
        <v>0.375</v>
      </c>
      <c r="HD95" s="145">
        <f t="shared" si="143"/>
        <v>-0.63636363636363635</v>
      </c>
      <c r="HE95" s="145">
        <f t="shared" si="143"/>
        <v>-0.25</v>
      </c>
      <c r="HF95" s="145">
        <f t="shared" si="143"/>
        <v>-0.33333333333333331</v>
      </c>
      <c r="HG95" s="145">
        <f t="shared" si="144"/>
        <v>1</v>
      </c>
      <c r="HH95" s="145">
        <f t="shared" si="144"/>
        <v>0.5</v>
      </c>
      <c r="HI95" s="145">
        <f t="shared" si="144"/>
        <v>-0.83333333333333337</v>
      </c>
      <c r="HJ95" s="145">
        <f t="shared" si="144"/>
        <v>6</v>
      </c>
      <c r="HK95" s="145">
        <f t="shared" si="144"/>
        <v>0</v>
      </c>
      <c r="HL95" s="145">
        <f t="shared" si="144"/>
        <v>-0.7142857142857143</v>
      </c>
      <c r="HM95" s="145">
        <f t="shared" si="144"/>
        <v>0.5</v>
      </c>
      <c r="HN95" s="145">
        <f t="shared" si="144"/>
        <v>1</v>
      </c>
      <c r="HO95" s="145">
        <f t="shared" si="144"/>
        <v>-0.16666666666666666</v>
      </c>
      <c r="HP95" s="145">
        <f t="shared" si="144"/>
        <v>-0.2</v>
      </c>
      <c r="HQ95" s="145">
        <f t="shared" si="145"/>
        <v>-0.5</v>
      </c>
      <c r="HR95" s="145">
        <f t="shared" si="145"/>
        <v>0</v>
      </c>
      <c r="HS95" s="145">
        <f t="shared" si="145"/>
        <v>0</v>
      </c>
      <c r="HT95" s="145">
        <f t="shared" si="145"/>
        <v>-1</v>
      </c>
      <c r="HU95" s="145" t="e">
        <f t="shared" si="145"/>
        <v>#DIV/0!</v>
      </c>
      <c r="HV95" s="145">
        <f t="shared" si="145"/>
        <v>-0.33333333333333331</v>
      </c>
      <c r="HW95" s="145">
        <f t="shared" si="145"/>
        <v>-0.5</v>
      </c>
      <c r="HX95" s="145">
        <f t="shared" si="145"/>
        <v>3</v>
      </c>
      <c r="HY95" s="145">
        <f t="shared" si="145"/>
        <v>-0.25</v>
      </c>
      <c r="HZ95" s="145">
        <f t="shared" si="145"/>
        <v>-0.33333333333333331</v>
      </c>
      <c r="IA95" s="145">
        <f t="shared" si="146"/>
        <v>1</v>
      </c>
      <c r="IB95" s="145">
        <f t="shared" si="146"/>
        <v>0.5</v>
      </c>
      <c r="IC95" s="145">
        <f t="shared" si="146"/>
        <v>-0.33333333333333331</v>
      </c>
      <c r="ID95" s="145">
        <f t="shared" si="146"/>
        <v>-0.25</v>
      </c>
      <c r="IE95" s="145">
        <f t="shared" si="146"/>
        <v>-0.33333333333333331</v>
      </c>
      <c r="IF95" s="145">
        <f t="shared" si="146"/>
        <v>0</v>
      </c>
      <c r="IG95" s="145">
        <f t="shared" si="146"/>
        <v>-0.5</v>
      </c>
      <c r="IH95" s="145">
        <f t="shared" si="146"/>
        <v>0</v>
      </c>
      <c r="II95" s="145">
        <f t="shared" si="146"/>
        <v>6</v>
      </c>
      <c r="IJ95" s="145">
        <f t="shared" si="146"/>
        <v>-0.8571428571428571</v>
      </c>
      <c r="IK95" s="145">
        <f t="shared" si="147"/>
        <v>1</v>
      </c>
      <c r="IL95" s="145">
        <f t="shared" si="147"/>
        <v>1</v>
      </c>
      <c r="IM95" s="145">
        <f t="shared" si="147"/>
        <v>-0.25</v>
      </c>
      <c r="IN95" s="145">
        <f t="shared" si="147"/>
        <v>0.33333333333333331</v>
      </c>
      <c r="IO95" s="145">
        <f t="shared" si="147"/>
        <v>0.75</v>
      </c>
      <c r="IP95" s="145">
        <f t="shared" si="147"/>
        <v>-1</v>
      </c>
      <c r="IQ95" s="145" t="e">
        <f t="shared" si="147"/>
        <v>#DIV/0!</v>
      </c>
      <c r="IR95" s="145">
        <f t="shared" si="147"/>
        <v>1</v>
      </c>
      <c r="IS95" s="145">
        <f t="shared" si="147"/>
        <v>0.5</v>
      </c>
      <c r="IT95" s="145">
        <f t="shared" si="147"/>
        <v>-0.33333333333333331</v>
      </c>
      <c r="IU95" s="145">
        <f t="shared" si="148"/>
        <v>1</v>
      </c>
      <c r="IV95" s="145">
        <f t="shared" si="148"/>
        <v>-1</v>
      </c>
      <c r="IW95" s="145" t="e">
        <f t="shared" si="148"/>
        <v>#DIV/0!</v>
      </c>
      <c r="IX95" s="145">
        <f t="shared" si="148"/>
        <v>2</v>
      </c>
      <c r="IY95" s="145">
        <f t="shared" si="148"/>
        <v>-0.66666666666666663</v>
      </c>
      <c r="IZ95" s="145">
        <f t="shared" si="148"/>
        <v>7</v>
      </c>
      <c r="JA95" s="145">
        <f t="shared" si="148"/>
        <v>-0.625</v>
      </c>
      <c r="JB95" s="145">
        <f t="shared" si="148"/>
        <v>-0.66666666666666663</v>
      </c>
      <c r="JC95" s="145">
        <f t="shared" si="148"/>
        <v>1</v>
      </c>
      <c r="JD95" s="145">
        <f t="shared" si="148"/>
        <v>-0.5</v>
      </c>
      <c r="JE95" s="145">
        <f t="shared" si="149"/>
        <v>1</v>
      </c>
      <c r="JF95" s="145">
        <f t="shared" si="149"/>
        <v>0</v>
      </c>
      <c r="JG95" s="145">
        <f t="shared" si="149"/>
        <v>1</v>
      </c>
      <c r="JH95" s="145">
        <f t="shared" si="149"/>
        <v>-1</v>
      </c>
      <c r="JI95" s="145" t="e">
        <f t="shared" si="149"/>
        <v>#DIV/0!</v>
      </c>
      <c r="JJ95" s="145">
        <f t="shared" si="149"/>
        <v>0</v>
      </c>
      <c r="JK95" s="145">
        <f t="shared" si="149"/>
        <v>0.5</v>
      </c>
      <c r="JL95" s="145">
        <f t="shared" si="149"/>
        <v>-0.33333333333333331</v>
      </c>
      <c r="JM95" s="145">
        <f t="shared" si="149"/>
        <v>-1</v>
      </c>
      <c r="JN95" s="145" t="e">
        <f t="shared" si="149"/>
        <v>#DIV/0!</v>
      </c>
      <c r="JO95" s="145">
        <f t="shared" si="150"/>
        <v>0.33333333333333331</v>
      </c>
      <c r="JP95" s="145">
        <f t="shared" si="150"/>
        <v>-0.5</v>
      </c>
      <c r="JQ95" s="145">
        <f t="shared" si="150"/>
        <v>0.5</v>
      </c>
      <c r="JR95" s="145">
        <f t="shared" si="150"/>
        <v>-0.33333333333333331</v>
      </c>
      <c r="JS95" s="145">
        <f t="shared" si="150"/>
        <v>0.5</v>
      </c>
      <c r="JT95" s="145">
        <f t="shared" si="150"/>
        <v>0.33333333333333331</v>
      </c>
      <c r="JU95" s="145">
        <f t="shared" si="150"/>
        <v>-0.75</v>
      </c>
      <c r="JV95" s="145">
        <f t="shared" si="150"/>
        <v>2</v>
      </c>
      <c r="JW95" s="145">
        <f t="shared" si="150"/>
        <v>0.33333333333333331</v>
      </c>
      <c r="JX95" s="145">
        <f t="shared" si="150"/>
        <v>0.25</v>
      </c>
      <c r="JY95" s="145">
        <f t="shared" si="151"/>
        <v>-0.2</v>
      </c>
      <c r="JZ95" s="145">
        <f t="shared" si="151"/>
        <v>-0.75</v>
      </c>
      <c r="KA95" s="145">
        <f t="shared" si="151"/>
        <v>4</v>
      </c>
      <c r="KB95" s="145">
        <f t="shared" si="151"/>
        <v>-0.4</v>
      </c>
      <c r="KC95" s="145">
        <f t="shared" si="151"/>
        <v>-0.66666666666666663</v>
      </c>
      <c r="KD95" s="145">
        <f t="shared" si="151"/>
        <v>2</v>
      </c>
      <c r="KE95" s="145">
        <f t="shared" si="151"/>
        <v>1</v>
      </c>
      <c r="KF95" s="145">
        <f t="shared" si="151"/>
        <v>-0.5</v>
      </c>
      <c r="KG95" s="145">
        <f t="shared" si="151"/>
        <v>0.33333333333333331</v>
      </c>
      <c r="KH95" s="145">
        <f t="shared" si="151"/>
        <v>-0.25</v>
      </c>
      <c r="KI95" s="145">
        <f t="shared" si="152"/>
        <v>2.3333333333333335</v>
      </c>
      <c r="KJ95" s="145">
        <f t="shared" si="152"/>
        <v>-0.4</v>
      </c>
      <c r="KK95" s="145">
        <f t="shared" si="152"/>
        <v>0.33333333333333331</v>
      </c>
      <c r="KL95" s="145">
        <f t="shared" si="152"/>
        <v>-0.875</v>
      </c>
      <c r="KM95" s="145">
        <f t="shared" si="152"/>
        <v>-1</v>
      </c>
      <c r="KN95" s="145" t="e">
        <f t="shared" si="152"/>
        <v>#DIV/0!</v>
      </c>
      <c r="KO95" s="145">
        <f t="shared" si="152"/>
        <v>0</v>
      </c>
      <c r="KP95" s="145">
        <f t="shared" si="152"/>
        <v>1.5</v>
      </c>
      <c r="KQ95" s="145">
        <f t="shared" si="152"/>
        <v>-0.4</v>
      </c>
      <c r="KR95" s="145">
        <f t="shared" si="152"/>
        <v>1</v>
      </c>
      <c r="KS95" s="145">
        <f t="shared" si="153"/>
        <v>-0.5</v>
      </c>
      <c r="KT95" s="145">
        <f t="shared" si="153"/>
        <v>0.66666666666666663</v>
      </c>
      <c r="KU95" s="145">
        <f t="shared" si="153"/>
        <v>-0.6</v>
      </c>
      <c r="KV95" s="145">
        <f t="shared" si="153"/>
        <v>2.5</v>
      </c>
      <c r="KW95" s="145">
        <f t="shared" si="153"/>
        <v>-0.42857142857142855</v>
      </c>
      <c r="KX95" s="145">
        <f t="shared" si="153"/>
        <v>0</v>
      </c>
      <c r="KY95" s="145">
        <f t="shared" si="153"/>
        <v>-0.25</v>
      </c>
      <c r="KZ95" s="145">
        <f t="shared" si="153"/>
        <v>0.33333333333333331</v>
      </c>
      <c r="LA95" s="145">
        <f t="shared" si="153"/>
        <v>0.75</v>
      </c>
      <c r="LB95" s="145">
        <f t="shared" si="153"/>
        <v>-0.7142857142857143</v>
      </c>
      <c r="LC95" s="145">
        <f t="shared" si="154"/>
        <v>0</v>
      </c>
      <c r="LD95" s="145">
        <f t="shared" si="154"/>
        <v>-0.5</v>
      </c>
      <c r="LE95" s="145">
        <f t="shared" si="139"/>
        <v>12</v>
      </c>
      <c r="LF95" s="145">
        <f t="shared" si="139"/>
        <v>-0.46153846153846156</v>
      </c>
      <c r="LG95" s="145">
        <f t="shared" si="139"/>
        <v>0.42857142857142855</v>
      </c>
      <c r="LH95" s="145">
        <f t="shared" si="139"/>
        <v>0.2</v>
      </c>
      <c r="LI95" s="145">
        <f t="shared" si="139"/>
        <v>-0.5</v>
      </c>
      <c r="LJ95" s="145">
        <f t="shared" si="139"/>
        <v>-0.83333333333333337</v>
      </c>
      <c r="LK95" s="145">
        <f t="shared" si="139"/>
        <v>4</v>
      </c>
      <c r="LL95" s="145">
        <f t="shared" si="139"/>
        <v>-0.6</v>
      </c>
      <c r="LM95" s="145">
        <f t="shared" si="139"/>
        <v>0</v>
      </c>
      <c r="LN95" s="145">
        <f t="shared" si="139"/>
        <v>2.5</v>
      </c>
      <c r="LO95" s="145">
        <f t="shared" si="140"/>
        <v>-0.5714285714285714</v>
      </c>
      <c r="LP95" s="145">
        <f t="shared" si="140"/>
        <v>1.3333333333333333</v>
      </c>
      <c r="LQ95" s="145">
        <f t="shared" si="140"/>
        <v>-0.7142857142857143</v>
      </c>
      <c r="LR95" s="145">
        <f t="shared" si="140"/>
        <v>1.5</v>
      </c>
      <c r="LS95" s="145">
        <f t="shared" si="140"/>
        <v>0.4</v>
      </c>
      <c r="LT95" s="145">
        <f t="shared" si="140"/>
        <v>1.2857142857142858</v>
      </c>
      <c r="LU95" s="145">
        <f t="shared" si="140"/>
        <v>-0.5</v>
      </c>
      <c r="LV95" s="145">
        <f t="shared" si="140"/>
        <v>-0.75</v>
      </c>
      <c r="LW95" s="145">
        <f t="shared" si="140"/>
        <v>0.5</v>
      </c>
      <c r="LX95" s="145">
        <f t="shared" si="140"/>
        <v>0</v>
      </c>
      <c r="LY95" s="145">
        <f t="shared" si="141"/>
        <v>-0.33333333333333331</v>
      </c>
      <c r="LZ95" s="145">
        <f t="shared" si="141"/>
        <v>0</v>
      </c>
      <c r="MA95" s="145">
        <f t="shared" si="141"/>
        <v>0.5</v>
      </c>
      <c r="MB95" s="145">
        <f t="shared" si="141"/>
        <v>-0.33333333333333331</v>
      </c>
      <c r="MC95" s="145">
        <f t="shared" si="141"/>
        <v>3</v>
      </c>
      <c r="MD95" s="145">
        <f t="shared" si="141"/>
        <v>0</v>
      </c>
      <c r="ME95" s="145">
        <f t="shared" si="141"/>
        <v>0.25</v>
      </c>
      <c r="MF95" s="145">
        <f t="shared" si="141"/>
        <v>0.2</v>
      </c>
      <c r="MG95" s="145">
        <f t="shared" si="141"/>
        <v>-0.16666666666666666</v>
      </c>
      <c r="MH95" s="145">
        <f t="shared" si="141"/>
        <v>-0.7</v>
      </c>
      <c r="MI95" s="145">
        <f t="shared" si="142"/>
        <v>-0.33333333333333331</v>
      </c>
      <c r="MJ95" s="145">
        <f t="shared" si="142"/>
        <v>-1</v>
      </c>
      <c r="MK95" s="145" t="e">
        <f t="shared" si="142"/>
        <v>#DIV/0!</v>
      </c>
      <c r="ML95" s="145">
        <f t="shared" si="142"/>
        <v>0</v>
      </c>
      <c r="MM95" s="145">
        <f t="shared" si="142"/>
        <v>0.5</v>
      </c>
      <c r="MN95" s="145">
        <f t="shared" si="142"/>
        <v>0</v>
      </c>
      <c r="MO95" s="145">
        <f t="shared" si="142"/>
        <v>0</v>
      </c>
      <c r="MP95" s="145">
        <f t="shared" si="142"/>
        <v>0</v>
      </c>
      <c r="MQ95" s="145">
        <f t="shared" si="142"/>
        <v>-0.33333333333333331</v>
      </c>
      <c r="MR95" s="145">
        <f t="shared" si="142"/>
        <v>-0.5</v>
      </c>
      <c r="MS95" s="145">
        <f>(EZ95-EY95)/EY95</f>
        <v>0.7142857142857143</v>
      </c>
      <c r="MT95" s="145">
        <f t="shared" si="135"/>
        <v>0.41666666666666669</v>
      </c>
      <c r="MU95" s="145">
        <f t="shared" si="135"/>
        <v>0.14285714285714285</v>
      </c>
      <c r="MV95" s="145">
        <f t="shared" si="135"/>
        <v>-7.6923076923076927E-2</v>
      </c>
      <c r="MW95" s="145">
        <f t="shared" si="135"/>
        <v>0.13333333333333333</v>
      </c>
      <c r="MX95" s="145">
        <f t="shared" si="135"/>
        <v>0.375</v>
      </c>
      <c r="MY95" s="145">
        <f t="shared" si="135"/>
        <v>-4.3478260869565216E-2</v>
      </c>
      <c r="MZ95" s="145">
        <f t="shared" si="135"/>
        <v>0.23333333333333334</v>
      </c>
      <c r="NA95" s="145">
        <f t="shared" si="135"/>
        <v>6.25E-2</v>
      </c>
      <c r="NB95" s="145">
        <f t="shared" si="135"/>
        <v>0</v>
      </c>
      <c r="NC95" s="145">
        <f t="shared" si="135"/>
        <v>-0.39130434782608697</v>
      </c>
      <c r="ND95" s="145">
        <f t="shared" si="136"/>
        <v>0.30303030303030304</v>
      </c>
      <c r="NE95" s="145">
        <f t="shared" si="136"/>
        <v>-0.13793103448275862</v>
      </c>
      <c r="NF95" s="145">
        <f t="shared" si="136"/>
        <v>-0.20833333333333334</v>
      </c>
      <c r="NG95" s="145">
        <f t="shared" si="136"/>
        <v>-0.84615384615384615</v>
      </c>
      <c r="NH95" s="145">
        <f t="shared" si="136"/>
        <v>0.31578947368421051</v>
      </c>
      <c r="NI95" s="145">
        <f t="shared" si="136"/>
        <v>0.20833333333333334</v>
      </c>
      <c r="NJ95" s="145">
        <f t="shared" si="136"/>
        <v>-0.33333333333333331</v>
      </c>
      <c r="NK95" s="145">
        <f t="shared" si="136"/>
        <v>0.47058823529411764</v>
      </c>
      <c r="NL95" s="145">
        <f t="shared" si="136"/>
        <v>-0.47826086956521741</v>
      </c>
      <c r="NM95" s="145">
        <f t="shared" si="136"/>
        <v>0.17857142857142858</v>
      </c>
      <c r="NN95" s="145">
        <f t="shared" si="137"/>
        <v>0.24324324324324326</v>
      </c>
      <c r="NO95" s="145">
        <f t="shared" si="137"/>
        <v>5.128205128205128E-2</v>
      </c>
      <c r="NP95" s="145">
        <f t="shared" si="137"/>
        <v>7.1428571428571425E-2</v>
      </c>
      <c r="NQ95" s="145">
        <f t="shared" si="137"/>
        <v>-0.27272727272727271</v>
      </c>
      <c r="NR95" s="145">
        <f t="shared" si="137"/>
        <v>-0.65</v>
      </c>
      <c r="NS95" s="145">
        <f t="shared" si="137"/>
        <v>0.375</v>
      </c>
      <c r="NT95" s="145">
        <f t="shared" si="137"/>
        <v>-1.6666666666666667</v>
      </c>
      <c r="NU95" s="145">
        <f t="shared" si="137"/>
        <v>0.42857142857142855</v>
      </c>
      <c r="NV95" s="145">
        <f t="shared" si="137"/>
        <v>4.5454545454545456E-2</v>
      </c>
      <c r="NW95" s="145">
        <f t="shared" si="137"/>
        <v>-0.29411764705882354</v>
      </c>
      <c r="NX95" s="145">
        <f t="shared" si="138"/>
        <v>-0.30769230769230771</v>
      </c>
      <c r="NY95" s="145">
        <f t="shared" si="138"/>
        <v>0.43478260869565216</v>
      </c>
      <c r="NZ95" s="145">
        <f t="shared" si="138"/>
        <v>0.3611111111111111</v>
      </c>
      <c r="OA95" s="145">
        <f t="shared" si="138"/>
        <v>-0.8</v>
      </c>
      <c r="OB95" s="145">
        <f t="shared" si="138"/>
        <v>0.5</v>
      </c>
      <c r="OC95" s="145">
        <f t="shared" si="138"/>
        <v>9.0909090909090912E-2</v>
      </c>
      <c r="OD95" s="145">
        <f t="shared" si="138"/>
        <v>-0.76</v>
      </c>
      <c r="OE95" s="145">
        <f t="shared" si="138"/>
        <v>-0.31578947368421051</v>
      </c>
      <c r="OF95" s="145">
        <f t="shared" si="138"/>
        <v>0</v>
      </c>
      <c r="OG95" s="145">
        <f t="shared" si="138"/>
        <v>0.34482758620689657</v>
      </c>
      <c r="OH95" s="145">
        <f t="shared" si="138"/>
        <v>-0.8125</v>
      </c>
      <c r="OI95" s="145">
        <f t="shared" si="138"/>
        <v>0.52941176470588236</v>
      </c>
      <c r="OJ95" s="145">
        <f t="shared" si="138"/>
        <v>-0.61904761904761907</v>
      </c>
      <c r="OK95" s="145">
        <f t="shared" si="138"/>
        <v>0</v>
      </c>
      <c r="OL95" s="145">
        <f t="shared" si="138"/>
        <v>0.41666666666666669</v>
      </c>
    </row>
    <row r="96" spans="1:402" s="145" customFormat="1" ht="19.5" customHeight="1" x14ac:dyDescent="0.35">
      <c r="A96" s="12" t="s">
        <v>34</v>
      </c>
      <c r="B96" s="156">
        <v>6</v>
      </c>
      <c r="C96" s="156">
        <v>5</v>
      </c>
      <c r="D96" s="156">
        <v>2</v>
      </c>
      <c r="E96" s="156">
        <f>8</f>
        <v>8</v>
      </c>
      <c r="F96" s="156">
        <f>'[1]Jan 08'!C43</f>
        <v>6</v>
      </c>
      <c r="G96" s="143">
        <f>'[1]Feb 08'!C43</f>
        <v>3</v>
      </c>
      <c r="H96" s="143">
        <f>'[1]Mar 08'!C43</f>
        <v>7</v>
      </c>
      <c r="I96" s="143">
        <v>15</v>
      </c>
      <c r="J96" s="143">
        <f>'[1]May 08'!C43</f>
        <v>10</v>
      </c>
      <c r="K96" s="143">
        <f>'[1]Jun 08'!C43</f>
        <v>12</v>
      </c>
      <c r="L96" s="143">
        <f>'[1]Jul 08'!C43</f>
        <v>10</v>
      </c>
      <c r="M96" s="143">
        <f>'[1]Aug 08'!C43</f>
        <v>6</v>
      </c>
      <c r="N96" s="143">
        <v>2</v>
      </c>
      <c r="O96" s="143">
        <v>7</v>
      </c>
      <c r="P96" s="143">
        <v>7</v>
      </c>
      <c r="Q96" s="143">
        <v>9</v>
      </c>
      <c r="R96" s="143">
        <v>9</v>
      </c>
      <c r="S96" s="143">
        <v>7</v>
      </c>
      <c r="T96" s="143">
        <v>3</v>
      </c>
      <c r="U96" s="143">
        <v>6</v>
      </c>
      <c r="V96" s="143">
        <v>11</v>
      </c>
      <c r="W96" s="143">
        <v>11</v>
      </c>
      <c r="X96" s="143">
        <v>7</v>
      </c>
      <c r="Y96" s="143">
        <v>2</v>
      </c>
      <c r="Z96" s="143">
        <v>2</v>
      </c>
      <c r="AA96" s="143">
        <v>6</v>
      </c>
      <c r="AB96" s="143">
        <v>2</v>
      </c>
      <c r="AC96" s="143">
        <v>7</v>
      </c>
      <c r="AD96" s="143">
        <v>2</v>
      </c>
      <c r="AE96" s="143">
        <v>1</v>
      </c>
      <c r="AF96" s="143">
        <v>2</v>
      </c>
      <c r="AG96" s="143">
        <v>2</v>
      </c>
      <c r="AH96" s="143">
        <v>3</v>
      </c>
      <c r="AI96" s="143">
        <v>5</v>
      </c>
      <c r="AJ96" s="143">
        <v>4</v>
      </c>
      <c r="AK96" s="143">
        <v>5</v>
      </c>
      <c r="AL96" s="143">
        <v>4</v>
      </c>
      <c r="AM96" s="143">
        <v>2</v>
      </c>
      <c r="AN96" s="143">
        <v>1</v>
      </c>
      <c r="AO96" s="143">
        <v>4</v>
      </c>
      <c r="AP96" s="143">
        <v>1</v>
      </c>
      <c r="AQ96" s="143">
        <v>4</v>
      </c>
      <c r="AR96" s="143">
        <v>1</v>
      </c>
      <c r="AS96" s="143">
        <v>1</v>
      </c>
      <c r="AT96" s="143">
        <v>3</v>
      </c>
      <c r="AU96" s="143">
        <v>5</v>
      </c>
      <c r="AV96" s="143">
        <v>1</v>
      </c>
      <c r="AW96" s="143">
        <v>2</v>
      </c>
      <c r="AX96" s="143">
        <v>6</v>
      </c>
      <c r="AY96" s="143">
        <v>1</v>
      </c>
      <c r="AZ96" s="143">
        <v>1</v>
      </c>
      <c r="BA96" s="143">
        <v>2</v>
      </c>
      <c r="BB96" s="143">
        <v>0</v>
      </c>
      <c r="BC96" s="143">
        <v>0</v>
      </c>
      <c r="BD96" s="143">
        <v>3</v>
      </c>
      <c r="BE96" s="143">
        <v>1</v>
      </c>
      <c r="BF96" s="143">
        <v>7</v>
      </c>
      <c r="BG96" s="143">
        <v>1</v>
      </c>
      <c r="BH96" s="143">
        <v>3</v>
      </c>
      <c r="BI96" s="143">
        <v>1</v>
      </c>
      <c r="BJ96" s="143">
        <v>1</v>
      </c>
      <c r="BK96" s="143">
        <v>1</v>
      </c>
      <c r="BL96" s="143">
        <v>2</v>
      </c>
      <c r="BM96" s="143">
        <v>3</v>
      </c>
      <c r="BN96" s="143">
        <v>2</v>
      </c>
      <c r="BO96" s="143">
        <v>0</v>
      </c>
      <c r="BP96" s="143">
        <v>5</v>
      </c>
      <c r="BQ96" s="143">
        <v>0</v>
      </c>
      <c r="BR96" s="143">
        <v>8</v>
      </c>
      <c r="BS96" s="143">
        <v>2</v>
      </c>
      <c r="BT96" s="143">
        <v>6</v>
      </c>
      <c r="BU96" s="143">
        <v>1</v>
      </c>
      <c r="BV96" s="143">
        <v>2</v>
      </c>
      <c r="BW96" s="143">
        <v>1</v>
      </c>
      <c r="BX96" s="143">
        <v>2</v>
      </c>
      <c r="BY96" s="143">
        <v>1</v>
      </c>
      <c r="BZ96" s="143">
        <v>1</v>
      </c>
      <c r="CA96" s="143">
        <v>2</v>
      </c>
      <c r="CB96" s="143">
        <v>2</v>
      </c>
      <c r="CC96" s="143">
        <v>3</v>
      </c>
      <c r="CD96" s="143">
        <v>1</v>
      </c>
      <c r="CE96" s="143">
        <v>7</v>
      </c>
      <c r="CF96" s="143">
        <v>4</v>
      </c>
      <c r="CG96" s="143">
        <v>0</v>
      </c>
      <c r="CH96" s="143">
        <v>4</v>
      </c>
      <c r="CI96" s="143">
        <v>1</v>
      </c>
      <c r="CJ96" s="143">
        <v>1</v>
      </c>
      <c r="CK96" s="143">
        <v>4</v>
      </c>
      <c r="CL96" s="143">
        <v>2</v>
      </c>
      <c r="CM96" s="143">
        <v>1</v>
      </c>
      <c r="CN96" s="143">
        <v>3</v>
      </c>
      <c r="CO96" s="143">
        <v>3</v>
      </c>
      <c r="CP96" s="143">
        <v>9</v>
      </c>
      <c r="CQ96" s="143">
        <v>11</v>
      </c>
      <c r="CR96" s="143">
        <v>0</v>
      </c>
      <c r="CS96" s="143">
        <v>3</v>
      </c>
      <c r="CT96" s="143">
        <v>3</v>
      </c>
      <c r="CU96" s="143">
        <v>1</v>
      </c>
      <c r="CV96" s="143">
        <v>0</v>
      </c>
      <c r="CW96" s="143">
        <v>2</v>
      </c>
      <c r="CX96" s="143">
        <v>2</v>
      </c>
      <c r="CY96" s="143">
        <v>0</v>
      </c>
      <c r="CZ96" s="143">
        <v>2</v>
      </c>
      <c r="DA96" s="143">
        <v>2</v>
      </c>
      <c r="DB96" s="143">
        <v>6</v>
      </c>
      <c r="DC96" s="143">
        <v>7</v>
      </c>
      <c r="DD96" s="143">
        <v>3</v>
      </c>
      <c r="DE96" s="143">
        <v>2</v>
      </c>
      <c r="DF96" s="143">
        <v>0</v>
      </c>
      <c r="DG96" s="143">
        <v>1</v>
      </c>
      <c r="DH96" s="143">
        <v>2</v>
      </c>
      <c r="DI96" s="143">
        <v>2</v>
      </c>
      <c r="DJ96" s="143">
        <v>6</v>
      </c>
      <c r="DK96" s="143">
        <v>1</v>
      </c>
      <c r="DL96" s="143">
        <v>0</v>
      </c>
      <c r="DM96" s="143">
        <v>1</v>
      </c>
      <c r="DN96" s="143">
        <v>3</v>
      </c>
      <c r="DO96" s="143">
        <v>7</v>
      </c>
      <c r="DP96" s="143">
        <v>5</v>
      </c>
      <c r="DQ96" s="143">
        <v>2</v>
      </c>
      <c r="DR96" s="143">
        <v>0</v>
      </c>
      <c r="DS96" s="143">
        <v>0</v>
      </c>
      <c r="DT96" s="143">
        <v>2</v>
      </c>
      <c r="DU96" s="143">
        <v>4</v>
      </c>
      <c r="DV96" s="143">
        <v>1</v>
      </c>
      <c r="DW96" s="143">
        <v>1</v>
      </c>
      <c r="DX96" s="143">
        <v>4</v>
      </c>
      <c r="DY96" s="143">
        <v>2</v>
      </c>
      <c r="DZ96" s="143">
        <v>4</v>
      </c>
      <c r="EA96" s="143">
        <v>12</v>
      </c>
      <c r="EB96" s="143">
        <v>3</v>
      </c>
      <c r="EC96" s="143">
        <v>3</v>
      </c>
      <c r="ED96" s="143">
        <v>0</v>
      </c>
      <c r="EE96" s="143">
        <v>3</v>
      </c>
      <c r="EF96" s="143">
        <v>3</v>
      </c>
      <c r="EG96" s="143">
        <v>2</v>
      </c>
      <c r="EH96" s="143">
        <v>5</v>
      </c>
      <c r="EI96" s="143">
        <v>0</v>
      </c>
      <c r="EJ96" s="143">
        <v>2</v>
      </c>
      <c r="EK96" s="143">
        <v>4</v>
      </c>
      <c r="EL96" s="143">
        <v>6</v>
      </c>
      <c r="EM96" s="143">
        <v>6</v>
      </c>
      <c r="EN96" s="143">
        <v>0</v>
      </c>
      <c r="EO96" s="143">
        <v>2</v>
      </c>
      <c r="EP96" s="143">
        <v>2</v>
      </c>
      <c r="EQ96" s="143">
        <v>0</v>
      </c>
      <c r="ER96" s="143">
        <v>2</v>
      </c>
      <c r="ES96" s="143">
        <v>2</v>
      </c>
      <c r="ET96" s="143">
        <v>4</v>
      </c>
      <c r="EU96" s="143">
        <v>0</v>
      </c>
      <c r="EV96" s="143">
        <v>1</v>
      </c>
      <c r="EW96" s="143">
        <v>3</v>
      </c>
      <c r="EX96" s="143">
        <v>2</v>
      </c>
      <c r="EY96" s="143">
        <v>2</v>
      </c>
      <c r="EZ96" s="143">
        <v>4</v>
      </c>
      <c r="FA96" s="143">
        <v>1</v>
      </c>
      <c r="FB96" s="143">
        <v>1</v>
      </c>
      <c r="FC96" s="143">
        <v>3</v>
      </c>
      <c r="FD96" s="143">
        <v>2</v>
      </c>
      <c r="FE96" s="143">
        <v>5</v>
      </c>
      <c r="FF96" s="143">
        <v>1</v>
      </c>
      <c r="FG96" s="143">
        <v>1</v>
      </c>
      <c r="FH96" s="143">
        <v>1</v>
      </c>
      <c r="FI96" s="143">
        <v>2</v>
      </c>
      <c r="FJ96" s="143">
        <v>1</v>
      </c>
      <c r="FK96" s="143">
        <v>1</v>
      </c>
      <c r="FL96" s="143">
        <v>4</v>
      </c>
      <c r="FM96" s="143">
        <v>2</v>
      </c>
      <c r="FN96" s="143">
        <v>0</v>
      </c>
      <c r="FO96" s="143">
        <v>4</v>
      </c>
      <c r="FP96" s="143">
        <v>0</v>
      </c>
      <c r="FQ96" s="143">
        <v>3</v>
      </c>
      <c r="FR96" s="143">
        <v>4</v>
      </c>
      <c r="FS96" s="143">
        <v>0</v>
      </c>
      <c r="FT96" s="143">
        <v>6</v>
      </c>
      <c r="FU96" s="143">
        <v>4</v>
      </c>
      <c r="FV96" s="143">
        <v>6</v>
      </c>
      <c r="FW96" s="143">
        <v>3</v>
      </c>
      <c r="FX96" s="143">
        <v>6</v>
      </c>
      <c r="FY96" s="143">
        <v>5</v>
      </c>
      <c r="FZ96" s="143">
        <v>4</v>
      </c>
      <c r="GA96" s="143">
        <v>3</v>
      </c>
      <c r="GB96" s="143">
        <v>4</v>
      </c>
      <c r="GC96" s="143">
        <v>6</v>
      </c>
      <c r="GD96" s="143">
        <v>6</v>
      </c>
      <c r="GE96" s="143">
        <v>7</v>
      </c>
      <c r="GF96" s="143">
        <v>2</v>
      </c>
      <c r="GG96" s="143">
        <v>3</v>
      </c>
      <c r="GH96" s="143">
        <v>10</v>
      </c>
      <c r="GI96" s="143">
        <v>17</v>
      </c>
      <c r="GJ96" s="143">
        <v>8</v>
      </c>
      <c r="GK96" s="143">
        <v>10</v>
      </c>
      <c r="GL96" s="143">
        <v>2</v>
      </c>
      <c r="GM96" s="143">
        <v>6</v>
      </c>
      <c r="GN96" s="143">
        <v>4</v>
      </c>
      <c r="GO96" s="143">
        <v>14</v>
      </c>
      <c r="GP96" s="143">
        <v>4</v>
      </c>
      <c r="GQ96" s="143">
        <v>0</v>
      </c>
      <c r="GR96" s="143">
        <v>6</v>
      </c>
      <c r="GS96" s="143">
        <f>SUM(B96:GR96)/198</f>
        <v>3.5303030303030303</v>
      </c>
      <c r="GT96" s="152"/>
      <c r="GU96" s="12" t="s">
        <v>34</v>
      </c>
      <c r="GV96" s="145" t="s">
        <v>30</v>
      </c>
      <c r="GW96" s="145">
        <f t="shared" si="143"/>
        <v>-0.16666666666666666</v>
      </c>
      <c r="GX96" s="145">
        <f t="shared" si="143"/>
        <v>-0.6</v>
      </c>
      <c r="GY96" s="145">
        <f t="shared" si="143"/>
        <v>3</v>
      </c>
      <c r="GZ96" s="145">
        <f t="shared" si="143"/>
        <v>-0.25</v>
      </c>
      <c r="HA96" s="145">
        <f t="shared" si="143"/>
        <v>-0.5</v>
      </c>
      <c r="HB96" s="145">
        <f t="shared" si="143"/>
        <v>1.3333333333333333</v>
      </c>
      <c r="HC96" s="145">
        <f t="shared" si="143"/>
        <v>1.1428571428571428</v>
      </c>
      <c r="HD96" s="145">
        <f t="shared" si="143"/>
        <v>-0.33333333333333331</v>
      </c>
      <c r="HE96" s="145">
        <f t="shared" si="143"/>
        <v>0.2</v>
      </c>
      <c r="HF96" s="145">
        <f t="shared" si="143"/>
        <v>-0.16666666666666666</v>
      </c>
      <c r="HG96" s="145">
        <f t="shared" si="144"/>
        <v>-0.4</v>
      </c>
      <c r="HH96" s="145">
        <f t="shared" si="144"/>
        <v>-0.66666666666666663</v>
      </c>
      <c r="HI96" s="145">
        <f t="shared" si="144"/>
        <v>2.5</v>
      </c>
      <c r="HJ96" s="145">
        <f t="shared" si="144"/>
        <v>0</v>
      </c>
      <c r="HK96" s="145">
        <f t="shared" si="144"/>
        <v>0.2857142857142857</v>
      </c>
      <c r="HL96" s="145">
        <f t="shared" si="144"/>
        <v>0</v>
      </c>
      <c r="HM96" s="145">
        <f t="shared" si="144"/>
        <v>-0.22222222222222221</v>
      </c>
      <c r="HN96" s="145">
        <f t="shared" si="144"/>
        <v>-0.5714285714285714</v>
      </c>
      <c r="HO96" s="145">
        <f t="shared" si="144"/>
        <v>1</v>
      </c>
      <c r="HP96" s="145">
        <f t="shared" si="144"/>
        <v>0.83333333333333337</v>
      </c>
      <c r="HQ96" s="145">
        <f t="shared" si="145"/>
        <v>0</v>
      </c>
      <c r="HR96" s="145">
        <f t="shared" si="145"/>
        <v>-0.36363636363636365</v>
      </c>
      <c r="HS96" s="145">
        <f t="shared" si="145"/>
        <v>-0.7142857142857143</v>
      </c>
      <c r="HT96" s="145">
        <f t="shared" si="145"/>
        <v>0</v>
      </c>
      <c r="HU96" s="145">
        <f t="shared" si="145"/>
        <v>2</v>
      </c>
      <c r="HV96" s="145">
        <f t="shared" si="145"/>
        <v>-0.66666666666666663</v>
      </c>
      <c r="HW96" s="145">
        <f t="shared" si="145"/>
        <v>2.5</v>
      </c>
      <c r="HX96" s="145">
        <f t="shared" si="145"/>
        <v>-0.7142857142857143</v>
      </c>
      <c r="HY96" s="145">
        <f t="shared" si="145"/>
        <v>-0.5</v>
      </c>
      <c r="HZ96" s="145">
        <f t="shared" si="145"/>
        <v>1</v>
      </c>
      <c r="IA96" s="145">
        <f t="shared" si="146"/>
        <v>0</v>
      </c>
      <c r="IB96" s="145">
        <f t="shared" si="146"/>
        <v>0.5</v>
      </c>
      <c r="IC96" s="145">
        <f t="shared" si="146"/>
        <v>0.66666666666666663</v>
      </c>
      <c r="ID96" s="145">
        <f t="shared" si="146"/>
        <v>-0.2</v>
      </c>
      <c r="IE96" s="145">
        <f t="shared" si="146"/>
        <v>0.25</v>
      </c>
      <c r="IF96" s="145">
        <f t="shared" si="146"/>
        <v>-0.2</v>
      </c>
      <c r="IG96" s="145">
        <f t="shared" si="146"/>
        <v>-0.5</v>
      </c>
      <c r="IH96" s="145">
        <f t="shared" si="146"/>
        <v>-0.5</v>
      </c>
      <c r="II96" s="145">
        <f t="shared" si="146"/>
        <v>3</v>
      </c>
      <c r="IJ96" s="145">
        <f t="shared" si="146"/>
        <v>-0.75</v>
      </c>
      <c r="IK96" s="145">
        <f t="shared" si="147"/>
        <v>3</v>
      </c>
      <c r="IL96" s="145">
        <f t="shared" si="147"/>
        <v>-0.75</v>
      </c>
      <c r="IM96" s="145">
        <f t="shared" si="147"/>
        <v>0</v>
      </c>
      <c r="IN96" s="145">
        <f t="shared" si="147"/>
        <v>2</v>
      </c>
      <c r="IO96" s="145">
        <f t="shared" si="147"/>
        <v>0.66666666666666663</v>
      </c>
      <c r="IP96" s="145">
        <f t="shared" si="147"/>
        <v>-0.8</v>
      </c>
      <c r="IQ96" s="145">
        <f t="shared" si="147"/>
        <v>1</v>
      </c>
      <c r="IR96" s="145">
        <f t="shared" si="147"/>
        <v>2</v>
      </c>
      <c r="IS96" s="145">
        <f t="shared" si="147"/>
        <v>-0.83333333333333337</v>
      </c>
      <c r="IT96" s="145">
        <f t="shared" si="147"/>
        <v>0</v>
      </c>
      <c r="IU96" s="145">
        <f t="shared" si="148"/>
        <v>1</v>
      </c>
      <c r="IV96" s="145">
        <f t="shared" si="148"/>
        <v>-1</v>
      </c>
      <c r="IW96" s="145" t="e">
        <f t="shared" si="148"/>
        <v>#DIV/0!</v>
      </c>
      <c r="IX96" s="145" t="e">
        <f t="shared" si="148"/>
        <v>#DIV/0!</v>
      </c>
      <c r="IY96" s="145">
        <f t="shared" si="148"/>
        <v>-0.66666666666666663</v>
      </c>
      <c r="IZ96" s="145">
        <f t="shared" si="148"/>
        <v>6</v>
      </c>
      <c r="JA96" s="145">
        <f t="shared" si="148"/>
        <v>-0.8571428571428571</v>
      </c>
      <c r="JB96" s="145">
        <f t="shared" si="148"/>
        <v>2</v>
      </c>
      <c r="JC96" s="145">
        <f t="shared" si="148"/>
        <v>-0.66666666666666663</v>
      </c>
      <c r="JD96" s="145">
        <f t="shared" si="148"/>
        <v>0</v>
      </c>
      <c r="JE96" s="145">
        <f t="shared" si="149"/>
        <v>0</v>
      </c>
      <c r="JF96" s="145">
        <f t="shared" si="149"/>
        <v>1</v>
      </c>
      <c r="JG96" s="145">
        <f t="shared" si="149"/>
        <v>0.5</v>
      </c>
      <c r="JH96" s="145">
        <f t="shared" si="149"/>
        <v>-0.33333333333333331</v>
      </c>
      <c r="JI96" s="145">
        <f t="shared" si="149"/>
        <v>-1</v>
      </c>
      <c r="JJ96" s="145" t="e">
        <f t="shared" si="149"/>
        <v>#DIV/0!</v>
      </c>
      <c r="JK96" s="145">
        <f t="shared" si="149"/>
        <v>-1</v>
      </c>
      <c r="JL96" s="145" t="e">
        <f t="shared" si="149"/>
        <v>#DIV/0!</v>
      </c>
      <c r="JM96" s="145">
        <f t="shared" si="149"/>
        <v>-0.75</v>
      </c>
      <c r="JN96" s="145">
        <f t="shared" si="149"/>
        <v>2</v>
      </c>
      <c r="JO96" s="145">
        <f t="shared" si="150"/>
        <v>-0.83333333333333337</v>
      </c>
      <c r="JP96" s="145">
        <f t="shared" si="150"/>
        <v>1</v>
      </c>
      <c r="JQ96" s="145">
        <f t="shared" si="150"/>
        <v>-0.5</v>
      </c>
      <c r="JR96" s="145">
        <f t="shared" si="150"/>
        <v>1</v>
      </c>
      <c r="JS96" s="145">
        <f t="shared" si="150"/>
        <v>-0.5</v>
      </c>
      <c r="JT96" s="145">
        <f t="shared" si="150"/>
        <v>0</v>
      </c>
      <c r="JU96" s="145">
        <f t="shared" si="150"/>
        <v>1</v>
      </c>
      <c r="JV96" s="145">
        <f t="shared" si="150"/>
        <v>0</v>
      </c>
      <c r="JW96" s="145">
        <f t="shared" si="150"/>
        <v>0.5</v>
      </c>
      <c r="JX96" s="145">
        <f t="shared" si="150"/>
        <v>-0.66666666666666663</v>
      </c>
      <c r="JY96" s="145">
        <f t="shared" si="151"/>
        <v>6</v>
      </c>
      <c r="JZ96" s="145">
        <f t="shared" si="151"/>
        <v>-0.42857142857142855</v>
      </c>
      <c r="KA96" s="145">
        <f t="shared" si="151"/>
        <v>-1</v>
      </c>
      <c r="KB96" s="145" t="e">
        <f t="shared" si="151"/>
        <v>#DIV/0!</v>
      </c>
      <c r="KC96" s="145">
        <f t="shared" si="151"/>
        <v>-0.75</v>
      </c>
      <c r="KD96" s="145">
        <f t="shared" si="151"/>
        <v>0</v>
      </c>
      <c r="KE96" s="145">
        <f t="shared" si="151"/>
        <v>3</v>
      </c>
      <c r="KF96" s="145">
        <f t="shared" si="151"/>
        <v>-0.5</v>
      </c>
      <c r="KG96" s="145">
        <f t="shared" si="151"/>
        <v>-0.5</v>
      </c>
      <c r="KH96" s="145">
        <f t="shared" si="151"/>
        <v>2</v>
      </c>
      <c r="KI96" s="145">
        <f t="shared" si="152"/>
        <v>0</v>
      </c>
      <c r="KJ96" s="145">
        <f t="shared" si="152"/>
        <v>2</v>
      </c>
      <c r="KK96" s="145">
        <f t="shared" si="152"/>
        <v>0.22222222222222221</v>
      </c>
      <c r="KL96" s="145">
        <f t="shared" si="152"/>
        <v>-1</v>
      </c>
      <c r="KM96" s="145" t="e">
        <f t="shared" si="152"/>
        <v>#DIV/0!</v>
      </c>
      <c r="KN96" s="145">
        <f t="shared" si="152"/>
        <v>0</v>
      </c>
      <c r="KO96" s="145">
        <f t="shared" si="152"/>
        <v>-0.66666666666666663</v>
      </c>
      <c r="KP96" s="145">
        <f t="shared" si="152"/>
        <v>-1</v>
      </c>
      <c r="KQ96" s="145" t="e">
        <f t="shared" si="152"/>
        <v>#DIV/0!</v>
      </c>
      <c r="KR96" s="145">
        <f t="shared" si="152"/>
        <v>0</v>
      </c>
      <c r="KS96" s="145">
        <f t="shared" si="153"/>
        <v>-1</v>
      </c>
      <c r="KT96" s="145" t="e">
        <f t="shared" si="153"/>
        <v>#DIV/0!</v>
      </c>
      <c r="KU96" s="145">
        <f t="shared" si="153"/>
        <v>0</v>
      </c>
      <c r="KV96" s="145">
        <f t="shared" si="153"/>
        <v>2</v>
      </c>
      <c r="KW96" s="145">
        <f t="shared" si="153"/>
        <v>0.16666666666666666</v>
      </c>
      <c r="KX96" s="145">
        <f t="shared" si="153"/>
        <v>-0.5714285714285714</v>
      </c>
      <c r="KY96" s="145">
        <f t="shared" si="153"/>
        <v>-0.33333333333333331</v>
      </c>
      <c r="KZ96" s="145">
        <f t="shared" si="153"/>
        <v>-1</v>
      </c>
      <c r="LA96" s="145" t="e">
        <f t="shared" si="153"/>
        <v>#DIV/0!</v>
      </c>
      <c r="LB96" s="145">
        <f t="shared" si="153"/>
        <v>1</v>
      </c>
      <c r="LC96" s="145">
        <f t="shared" si="154"/>
        <v>0</v>
      </c>
      <c r="LD96" s="145">
        <f t="shared" si="154"/>
        <v>2</v>
      </c>
      <c r="LE96" s="145">
        <f t="shared" si="139"/>
        <v>-0.83333333333333337</v>
      </c>
      <c r="LF96" s="145">
        <f t="shared" si="139"/>
        <v>-1</v>
      </c>
      <c r="LG96" s="145" t="e">
        <f t="shared" si="139"/>
        <v>#DIV/0!</v>
      </c>
      <c r="LH96" s="145">
        <f t="shared" si="139"/>
        <v>2</v>
      </c>
      <c r="LI96" s="145">
        <f t="shared" si="139"/>
        <v>1.3333333333333333</v>
      </c>
      <c r="LJ96" s="145">
        <f t="shared" si="139"/>
        <v>-0.2857142857142857</v>
      </c>
      <c r="LK96" s="145">
        <f t="shared" si="139"/>
        <v>-0.6</v>
      </c>
      <c r="LL96" s="145">
        <f t="shared" si="139"/>
        <v>-1</v>
      </c>
      <c r="LM96" s="145" t="e">
        <f t="shared" si="139"/>
        <v>#DIV/0!</v>
      </c>
      <c r="LN96" s="145" t="e">
        <f t="shared" si="139"/>
        <v>#DIV/0!</v>
      </c>
      <c r="LO96" s="145">
        <f t="shared" si="140"/>
        <v>1</v>
      </c>
      <c r="LP96" s="145">
        <f t="shared" si="140"/>
        <v>-0.75</v>
      </c>
      <c r="LQ96" s="145">
        <f t="shared" si="140"/>
        <v>0</v>
      </c>
      <c r="LR96" s="145">
        <f t="shared" si="140"/>
        <v>3</v>
      </c>
      <c r="LS96" s="145">
        <f t="shared" si="140"/>
        <v>-0.5</v>
      </c>
      <c r="LT96" s="145">
        <f t="shared" si="140"/>
        <v>1</v>
      </c>
      <c r="LU96" s="145">
        <f t="shared" si="140"/>
        <v>2</v>
      </c>
      <c r="LV96" s="145">
        <f t="shared" si="140"/>
        <v>-0.75</v>
      </c>
      <c r="LW96" s="145">
        <f t="shared" si="140"/>
        <v>0</v>
      </c>
      <c r="LX96" s="145">
        <f t="shared" si="140"/>
        <v>-1</v>
      </c>
      <c r="LY96" s="145" t="e">
        <f t="shared" si="141"/>
        <v>#DIV/0!</v>
      </c>
      <c r="LZ96" s="145">
        <f t="shared" si="141"/>
        <v>0</v>
      </c>
      <c r="MA96" s="145">
        <f t="shared" si="141"/>
        <v>-0.33333333333333331</v>
      </c>
      <c r="MB96" s="145">
        <f t="shared" si="141"/>
        <v>1.5</v>
      </c>
      <c r="MC96" s="145">
        <f t="shared" si="141"/>
        <v>-1</v>
      </c>
      <c r="MD96" s="145" t="e">
        <f t="shared" si="141"/>
        <v>#DIV/0!</v>
      </c>
      <c r="ME96" s="145">
        <f t="shared" si="141"/>
        <v>1</v>
      </c>
      <c r="MF96" s="145">
        <f t="shared" si="141"/>
        <v>0.5</v>
      </c>
      <c r="MG96" s="145">
        <f t="shared" si="141"/>
        <v>0</v>
      </c>
      <c r="MH96" s="145">
        <f t="shared" si="141"/>
        <v>-1</v>
      </c>
      <c r="MI96" s="145" t="e">
        <f t="shared" si="142"/>
        <v>#DIV/0!</v>
      </c>
      <c r="MJ96" s="145">
        <f t="shared" si="142"/>
        <v>0</v>
      </c>
      <c r="MK96" s="145">
        <f t="shared" si="142"/>
        <v>-1</v>
      </c>
      <c r="ML96" s="145" t="e">
        <f t="shared" si="142"/>
        <v>#DIV/0!</v>
      </c>
      <c r="MM96" s="145">
        <f t="shared" si="142"/>
        <v>0</v>
      </c>
      <c r="MN96" s="145">
        <f t="shared" si="142"/>
        <v>1</v>
      </c>
      <c r="MO96" s="145">
        <f t="shared" si="142"/>
        <v>-1</v>
      </c>
      <c r="MP96" s="145" t="e">
        <f t="shared" si="142"/>
        <v>#DIV/0!</v>
      </c>
      <c r="MQ96" s="145">
        <f t="shared" si="142"/>
        <v>2</v>
      </c>
      <c r="MR96" s="145">
        <f t="shared" si="142"/>
        <v>-0.33333333333333331</v>
      </c>
      <c r="MS96" s="145">
        <f>(EZ96-EY96)/EY96</f>
        <v>1</v>
      </c>
      <c r="MT96" s="145">
        <f t="shared" si="135"/>
        <v>0.5</v>
      </c>
      <c r="MU96" s="145">
        <f t="shared" si="135"/>
        <v>-3</v>
      </c>
      <c r="MV96" s="145">
        <f t="shared" si="135"/>
        <v>0</v>
      </c>
      <c r="MW96" s="145">
        <f t="shared" si="135"/>
        <v>0.66666666666666663</v>
      </c>
      <c r="MX96" s="145">
        <f t="shared" si="135"/>
        <v>-0.5</v>
      </c>
      <c r="MY96" s="145">
        <f t="shared" si="135"/>
        <v>0.6</v>
      </c>
      <c r="MZ96" s="145">
        <f t="shared" si="135"/>
        <v>-4</v>
      </c>
      <c r="NA96" s="145">
        <f t="shared" si="135"/>
        <v>0</v>
      </c>
      <c r="NB96" s="145">
        <f t="shared" si="135"/>
        <v>0</v>
      </c>
      <c r="NC96" s="145">
        <f t="shared" si="135"/>
        <v>0.5</v>
      </c>
      <c r="ND96" s="145">
        <f t="shared" si="136"/>
        <v>-1</v>
      </c>
      <c r="NE96" s="145">
        <f t="shared" si="136"/>
        <v>0</v>
      </c>
      <c r="NF96" s="145">
        <f t="shared" si="136"/>
        <v>0.75</v>
      </c>
      <c r="NG96" s="145">
        <f t="shared" si="136"/>
        <v>-1</v>
      </c>
      <c r="NH96" s="145" t="e">
        <f t="shared" si="136"/>
        <v>#DIV/0!</v>
      </c>
      <c r="NI96" s="145">
        <f t="shared" si="136"/>
        <v>1</v>
      </c>
      <c r="NJ96" s="145" t="e">
        <f t="shared" si="136"/>
        <v>#DIV/0!</v>
      </c>
      <c r="NK96" s="145">
        <f t="shared" si="136"/>
        <v>1</v>
      </c>
      <c r="NL96" s="145">
        <f t="shared" si="136"/>
        <v>0.25</v>
      </c>
      <c r="NM96" s="145" t="e">
        <f t="shared" si="136"/>
        <v>#DIV/0!</v>
      </c>
      <c r="NN96" s="145">
        <f t="shared" si="137"/>
        <v>1</v>
      </c>
      <c r="NO96" s="145">
        <f t="shared" si="137"/>
        <v>-0.5</v>
      </c>
      <c r="NP96" s="145">
        <f t="shared" si="137"/>
        <v>0.33333333333333331</v>
      </c>
      <c r="NQ96" s="145">
        <f t="shared" si="137"/>
        <v>-1</v>
      </c>
      <c r="NR96" s="145">
        <f t="shared" si="137"/>
        <v>0.5</v>
      </c>
      <c r="NS96" s="145">
        <f t="shared" si="137"/>
        <v>-0.2</v>
      </c>
      <c r="NT96" s="145">
        <f t="shared" si="137"/>
        <v>-0.25</v>
      </c>
      <c r="NU96" s="145">
        <f t="shared" si="137"/>
        <v>-0.33333333333333331</v>
      </c>
      <c r="NV96" s="145">
        <f t="shared" si="137"/>
        <v>0.25</v>
      </c>
      <c r="NW96" s="145">
        <f t="shared" si="137"/>
        <v>0.33333333333333331</v>
      </c>
      <c r="NX96" s="145">
        <f t="shared" si="138"/>
        <v>0</v>
      </c>
      <c r="NY96" s="145">
        <f t="shared" si="138"/>
        <v>0.14285714285714285</v>
      </c>
      <c r="NZ96" s="145">
        <f t="shared" si="138"/>
        <v>-2.5</v>
      </c>
      <c r="OA96" s="145">
        <f t="shared" si="138"/>
        <v>0.33333333333333331</v>
      </c>
      <c r="OB96" s="145">
        <f t="shared" si="138"/>
        <v>0.7</v>
      </c>
      <c r="OC96" s="145">
        <f t="shared" si="138"/>
        <v>0.41176470588235292</v>
      </c>
      <c r="OD96" s="145">
        <f t="shared" si="138"/>
        <v>-1.125</v>
      </c>
      <c r="OE96" s="145">
        <f t="shared" si="138"/>
        <v>0.2</v>
      </c>
      <c r="OF96" s="145">
        <f t="shared" si="138"/>
        <v>-4</v>
      </c>
      <c r="OG96" s="145">
        <f t="shared" si="138"/>
        <v>0.66666666666666663</v>
      </c>
      <c r="OH96" s="145">
        <f t="shared" si="138"/>
        <v>-0.5</v>
      </c>
      <c r="OI96" s="145">
        <f t="shared" si="138"/>
        <v>0.7142857142857143</v>
      </c>
      <c r="OJ96" s="145">
        <f t="shared" si="138"/>
        <v>-2.5</v>
      </c>
      <c r="OK96" s="145" t="e">
        <f t="shared" si="138"/>
        <v>#DIV/0!</v>
      </c>
      <c r="OL96" s="145">
        <f t="shared" si="138"/>
        <v>1</v>
      </c>
    </row>
    <row r="97" spans="1:402" x14ac:dyDescent="0.35">
      <c r="B97" s="23"/>
      <c r="C97" s="23"/>
      <c r="D97" s="23"/>
      <c r="E97" s="23"/>
      <c r="F97" s="23"/>
      <c r="G97" s="24"/>
      <c r="H97" s="24"/>
      <c r="I97" s="24"/>
      <c r="J97" s="24"/>
      <c r="GS97" s="24"/>
      <c r="GV97" s="25"/>
      <c r="GW97" s="25"/>
      <c r="GX97" s="25"/>
      <c r="GY97" s="25"/>
    </row>
    <row r="99" spans="1:402" ht="16" thickBot="1" x14ac:dyDescent="0.4">
      <c r="A99" s="12" t="s">
        <v>39</v>
      </c>
      <c r="GU99" s="12" t="s">
        <v>36</v>
      </c>
    </row>
    <row r="100" spans="1:402" x14ac:dyDescent="0.35">
      <c r="B100" s="13">
        <v>2007</v>
      </c>
      <c r="C100" s="13"/>
      <c r="D100" s="13"/>
      <c r="E100" s="14"/>
      <c r="F100" s="15">
        <v>2008</v>
      </c>
      <c r="G100" s="16"/>
      <c r="H100" s="17"/>
      <c r="I100" s="16"/>
      <c r="J100" s="16"/>
      <c r="K100" s="16"/>
      <c r="L100" s="18"/>
      <c r="M100" s="18"/>
      <c r="N100" s="18"/>
      <c r="O100" s="18"/>
      <c r="P100" s="18"/>
      <c r="Q100" s="18"/>
      <c r="R100" s="19">
        <v>2009</v>
      </c>
      <c r="S100" s="19"/>
      <c r="T100" s="19"/>
      <c r="U100" s="19"/>
      <c r="V100" s="16"/>
      <c r="W100" s="16"/>
      <c r="X100" s="16"/>
      <c r="Y100" s="16"/>
      <c r="Z100" s="16"/>
      <c r="AA100" s="16"/>
      <c r="AB100" s="16"/>
      <c r="AC100" s="16"/>
      <c r="AD100" s="19">
        <v>2010</v>
      </c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>
        <v>2011</v>
      </c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9">
        <v>2012</v>
      </c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9">
        <v>2013</v>
      </c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>
        <v>2014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>
        <v>2015</v>
      </c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9">
        <v>2016</v>
      </c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9">
        <v>2017</v>
      </c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>
        <v>2018</v>
      </c>
      <c r="DW100" s="19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9">
        <v>2019</v>
      </c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9">
        <v>2020</v>
      </c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9">
        <v>2021</v>
      </c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>
        <v>2022</v>
      </c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>
        <v>2023</v>
      </c>
      <c r="GE100" s="19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9">
        <v>2024</v>
      </c>
      <c r="GQ100" s="19"/>
      <c r="GR100" s="183"/>
      <c r="GS100" s="43"/>
      <c r="GV100" s="13">
        <v>2007</v>
      </c>
      <c r="GW100" s="13"/>
      <c r="GX100" s="13"/>
      <c r="GY100" s="14"/>
      <c r="GZ100" s="15">
        <v>2008</v>
      </c>
      <c r="HA100" s="16"/>
      <c r="HB100" s="17"/>
      <c r="HC100" s="16"/>
      <c r="HD100" s="16"/>
      <c r="HE100" s="16"/>
      <c r="HF100" s="18"/>
      <c r="HG100" s="18"/>
      <c r="HH100" s="18"/>
      <c r="HI100" s="18"/>
      <c r="HJ100" s="18"/>
      <c r="HK100" s="18"/>
      <c r="HL100" s="19">
        <v>2009</v>
      </c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>
        <v>2010</v>
      </c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>
        <v>2011</v>
      </c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>
        <v>2012</v>
      </c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>
        <v>2013</v>
      </c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>
        <v>2014</v>
      </c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>
        <v>2015</v>
      </c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>
        <v>2016</v>
      </c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>
        <v>2017</v>
      </c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>
        <v>2018</v>
      </c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>
        <v>2019</v>
      </c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>
        <v>2020</v>
      </c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>
        <v>2021</v>
      </c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>
        <v>2022</v>
      </c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>
        <v>2023</v>
      </c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>
        <v>2024</v>
      </c>
      <c r="OK100" s="19"/>
      <c r="OL100" s="19"/>
    </row>
    <row r="101" spans="1:402" s="2" customFormat="1" x14ac:dyDescent="0.35">
      <c r="A101" s="26"/>
      <c r="B101" s="20" t="s">
        <v>3</v>
      </c>
      <c r="C101" s="20" t="s">
        <v>4</v>
      </c>
      <c r="D101" s="20" t="s">
        <v>5</v>
      </c>
      <c r="E101" s="20" t="s">
        <v>6</v>
      </c>
      <c r="F101" s="20" t="s">
        <v>7</v>
      </c>
      <c r="G101" s="20" t="s">
        <v>8</v>
      </c>
      <c r="H101" s="20" t="s">
        <v>9</v>
      </c>
      <c r="I101" s="20" t="s">
        <v>10</v>
      </c>
      <c r="J101" s="20" t="s">
        <v>11</v>
      </c>
      <c r="K101" s="20" t="s">
        <v>12</v>
      </c>
      <c r="L101" s="20" t="s">
        <v>13</v>
      </c>
      <c r="M101" s="20" t="s">
        <v>14</v>
      </c>
      <c r="N101" s="20" t="s">
        <v>3</v>
      </c>
      <c r="O101" s="20" t="s">
        <v>4</v>
      </c>
      <c r="P101" s="20" t="s">
        <v>5</v>
      </c>
      <c r="Q101" s="20" t="s">
        <v>15</v>
      </c>
      <c r="R101" s="22" t="s">
        <v>7</v>
      </c>
      <c r="S101" s="22" t="s">
        <v>8</v>
      </c>
      <c r="T101" s="22" t="s">
        <v>9</v>
      </c>
      <c r="U101" s="22" t="s">
        <v>10</v>
      </c>
      <c r="V101" s="22" t="s">
        <v>11</v>
      </c>
      <c r="W101" s="22" t="s">
        <v>12</v>
      </c>
      <c r="X101" s="22" t="s">
        <v>13</v>
      </c>
      <c r="Y101" s="22" t="s">
        <v>14</v>
      </c>
      <c r="Z101" s="22" t="s">
        <v>16</v>
      </c>
      <c r="AA101" s="22" t="s">
        <v>4</v>
      </c>
      <c r="AB101" s="22" t="s">
        <v>5</v>
      </c>
      <c r="AC101" s="22" t="s">
        <v>6</v>
      </c>
      <c r="AD101" s="22" t="s">
        <v>17</v>
      </c>
      <c r="AE101" s="22" t="s">
        <v>8</v>
      </c>
      <c r="AF101" s="22" t="s">
        <v>18</v>
      </c>
      <c r="AG101" s="22" t="s">
        <v>10</v>
      </c>
      <c r="AH101" s="22" t="s">
        <v>11</v>
      </c>
      <c r="AI101" s="22" t="s">
        <v>12</v>
      </c>
      <c r="AJ101" s="22" t="s">
        <v>13</v>
      </c>
      <c r="AK101" s="22" t="s">
        <v>14</v>
      </c>
      <c r="AL101" s="22" t="s">
        <v>16</v>
      </c>
      <c r="AM101" s="22" t="s">
        <v>19</v>
      </c>
      <c r="AN101" s="22" t="s">
        <v>5</v>
      </c>
      <c r="AO101" s="22" t="s">
        <v>6</v>
      </c>
      <c r="AP101" s="22" t="s">
        <v>7</v>
      </c>
      <c r="AQ101" s="22" t="s">
        <v>8</v>
      </c>
      <c r="AR101" s="22" t="s">
        <v>9</v>
      </c>
      <c r="AS101" s="22" t="s">
        <v>10</v>
      </c>
      <c r="AT101" s="22" t="s">
        <v>11</v>
      </c>
      <c r="AU101" s="22" t="s">
        <v>12</v>
      </c>
      <c r="AV101" s="22" t="s">
        <v>13</v>
      </c>
      <c r="AW101" s="22" t="s">
        <v>14</v>
      </c>
      <c r="AX101" s="22" t="s">
        <v>3</v>
      </c>
      <c r="AY101" s="22" t="s">
        <v>4</v>
      </c>
      <c r="AZ101" s="22" t="s">
        <v>5</v>
      </c>
      <c r="BA101" s="22" t="s">
        <v>6</v>
      </c>
      <c r="BB101" s="22" t="s">
        <v>7</v>
      </c>
      <c r="BC101" s="22" t="s">
        <v>8</v>
      </c>
      <c r="BD101" s="22" t="s">
        <v>18</v>
      </c>
      <c r="BE101" s="22" t="s">
        <v>10</v>
      </c>
      <c r="BF101" s="22" t="s">
        <v>11</v>
      </c>
      <c r="BG101" s="22" t="s">
        <v>12</v>
      </c>
      <c r="BH101" s="22" t="s">
        <v>20</v>
      </c>
      <c r="BI101" s="22" t="s">
        <v>21</v>
      </c>
      <c r="BJ101" s="22" t="s">
        <v>16</v>
      </c>
      <c r="BK101" s="22" t="s">
        <v>19</v>
      </c>
      <c r="BL101" s="22" t="s">
        <v>5</v>
      </c>
      <c r="BM101" s="22" t="s">
        <v>15</v>
      </c>
      <c r="BN101" s="22" t="s">
        <v>7</v>
      </c>
      <c r="BO101" s="22" t="s">
        <v>8</v>
      </c>
      <c r="BP101" s="22" t="s">
        <v>9</v>
      </c>
      <c r="BQ101" s="22" t="s">
        <v>10</v>
      </c>
      <c r="BR101" s="22" t="s">
        <v>11</v>
      </c>
      <c r="BS101" s="22" t="s">
        <v>12</v>
      </c>
      <c r="BT101" s="22" t="s">
        <v>20</v>
      </c>
      <c r="BU101" s="22" t="s">
        <v>21</v>
      </c>
      <c r="BV101" s="22" t="s">
        <v>22</v>
      </c>
      <c r="BW101" s="22" t="s">
        <v>4</v>
      </c>
      <c r="BX101" s="22" t="s">
        <v>5</v>
      </c>
      <c r="BY101" s="22" t="s">
        <v>6</v>
      </c>
      <c r="BZ101" s="22" t="s">
        <v>17</v>
      </c>
      <c r="CA101" s="22" t="s">
        <v>23</v>
      </c>
      <c r="CB101" s="22" t="s">
        <v>18</v>
      </c>
      <c r="CC101" s="22" t="s">
        <v>24</v>
      </c>
      <c r="CD101" s="22" t="s">
        <v>11</v>
      </c>
      <c r="CE101" s="22" t="s">
        <v>12</v>
      </c>
      <c r="CF101" s="22" t="s">
        <v>13</v>
      </c>
      <c r="CG101" s="22" t="s">
        <v>14</v>
      </c>
      <c r="CH101" s="22" t="s">
        <v>16</v>
      </c>
      <c r="CI101" s="22" t="s">
        <v>4</v>
      </c>
      <c r="CJ101" s="22" t="s">
        <v>5</v>
      </c>
      <c r="CK101" s="22" t="s">
        <v>6</v>
      </c>
      <c r="CL101" s="22" t="s">
        <v>7</v>
      </c>
      <c r="CM101" s="22" t="s">
        <v>8</v>
      </c>
      <c r="CN101" s="22" t="s">
        <v>18</v>
      </c>
      <c r="CO101" s="22" t="s">
        <v>10</v>
      </c>
      <c r="CP101" s="22" t="s">
        <v>11</v>
      </c>
      <c r="CQ101" s="22" t="s">
        <v>12</v>
      </c>
      <c r="CR101" s="22" t="s">
        <v>20</v>
      </c>
      <c r="CS101" s="22" t="s">
        <v>14</v>
      </c>
      <c r="CT101" s="22" t="s">
        <v>22</v>
      </c>
      <c r="CU101" s="22" t="s">
        <v>19</v>
      </c>
      <c r="CV101" s="22" t="s">
        <v>5</v>
      </c>
      <c r="CW101" s="22" t="s">
        <v>15</v>
      </c>
      <c r="CX101" s="22" t="s">
        <v>7</v>
      </c>
      <c r="CY101" s="22" t="s">
        <v>23</v>
      </c>
      <c r="CZ101" s="22" t="s">
        <v>18</v>
      </c>
      <c r="DA101" s="22" t="s">
        <v>24</v>
      </c>
      <c r="DB101" s="22" t="s">
        <v>11</v>
      </c>
      <c r="DC101" s="22" t="s">
        <v>12</v>
      </c>
      <c r="DD101" s="22" t="s">
        <v>13</v>
      </c>
      <c r="DE101" s="22" t="s">
        <v>14</v>
      </c>
      <c r="DF101" s="22" t="s">
        <v>16</v>
      </c>
      <c r="DG101" s="22" t="s">
        <v>4</v>
      </c>
      <c r="DH101" s="22" t="s">
        <v>5</v>
      </c>
      <c r="DI101" s="22" t="s">
        <v>15</v>
      </c>
      <c r="DJ101" s="22" t="s">
        <v>7</v>
      </c>
      <c r="DK101" s="22" t="s">
        <v>8</v>
      </c>
      <c r="DL101" s="22" t="s">
        <v>18</v>
      </c>
      <c r="DM101" s="22" t="s">
        <v>24</v>
      </c>
      <c r="DN101" s="22" t="s">
        <v>11</v>
      </c>
      <c r="DO101" s="22" t="s">
        <v>12</v>
      </c>
      <c r="DP101" s="22" t="s">
        <v>20</v>
      </c>
      <c r="DQ101" s="22" t="s">
        <v>14</v>
      </c>
      <c r="DR101" s="22" t="s">
        <v>22</v>
      </c>
      <c r="DS101" s="22" t="s">
        <v>19</v>
      </c>
      <c r="DT101" s="22" t="s">
        <v>5</v>
      </c>
      <c r="DU101" s="22" t="s">
        <v>15</v>
      </c>
      <c r="DV101" s="22" t="s">
        <v>7</v>
      </c>
      <c r="DW101" s="22" t="s">
        <v>8</v>
      </c>
      <c r="DX101" s="22" t="s">
        <v>18</v>
      </c>
      <c r="DY101" s="22" t="s">
        <v>24</v>
      </c>
      <c r="DZ101" s="22" t="s">
        <v>11</v>
      </c>
      <c r="EA101" s="22" t="s">
        <v>12</v>
      </c>
      <c r="EB101" s="22" t="s">
        <v>20</v>
      </c>
      <c r="EC101" s="22" t="s">
        <v>21</v>
      </c>
      <c r="ED101" s="22" t="s">
        <v>22</v>
      </c>
      <c r="EE101" s="22" t="s">
        <v>4</v>
      </c>
      <c r="EF101" s="22" t="s">
        <v>5</v>
      </c>
      <c r="EG101" s="22" t="s">
        <v>15</v>
      </c>
      <c r="EH101" s="22" t="s">
        <v>17</v>
      </c>
      <c r="EI101" s="22" t="s">
        <v>23</v>
      </c>
      <c r="EJ101" s="22" t="s">
        <v>18</v>
      </c>
      <c r="EK101" s="22" t="s">
        <v>24</v>
      </c>
      <c r="EL101" s="22" t="s">
        <v>11</v>
      </c>
      <c r="EM101" s="22" t="s">
        <v>12</v>
      </c>
      <c r="EN101" s="22" t="s">
        <v>20</v>
      </c>
      <c r="EO101" s="22" t="s">
        <v>21</v>
      </c>
      <c r="EP101" s="22" t="s">
        <v>22</v>
      </c>
      <c r="EQ101" s="22" t="s">
        <v>4</v>
      </c>
      <c r="ER101" s="22" t="s">
        <v>5</v>
      </c>
      <c r="ES101" s="22" t="s">
        <v>6</v>
      </c>
      <c r="ET101" s="22" t="s">
        <v>17</v>
      </c>
      <c r="EU101" s="22" t="s">
        <v>8</v>
      </c>
      <c r="EV101" s="22" t="s">
        <v>18</v>
      </c>
      <c r="EW101" s="22" t="s">
        <v>24</v>
      </c>
      <c r="EX101" s="22" t="s">
        <v>11</v>
      </c>
      <c r="EY101" s="22" t="s">
        <v>12</v>
      </c>
      <c r="EZ101" s="22" t="s">
        <v>20</v>
      </c>
      <c r="FA101" s="22" t="s">
        <v>14</v>
      </c>
      <c r="FB101" s="22" t="s">
        <v>22</v>
      </c>
      <c r="FC101" s="22" t="s">
        <v>4</v>
      </c>
      <c r="FD101" s="22" t="s">
        <v>5</v>
      </c>
      <c r="FE101" s="22" t="s">
        <v>6</v>
      </c>
      <c r="FF101" s="22" t="s">
        <v>7</v>
      </c>
      <c r="FG101" s="22" t="s">
        <v>8</v>
      </c>
      <c r="FH101" s="22" t="s">
        <v>9</v>
      </c>
      <c r="FI101" s="22" t="s">
        <v>24</v>
      </c>
      <c r="FJ101" s="22" t="s">
        <v>11</v>
      </c>
      <c r="FK101" s="22" t="s">
        <v>12</v>
      </c>
      <c r="FL101" s="22" t="s">
        <v>20</v>
      </c>
      <c r="FM101" s="22" t="s">
        <v>14</v>
      </c>
      <c r="FN101" s="22" t="s">
        <v>22</v>
      </c>
      <c r="FO101" s="22" t="s">
        <v>19</v>
      </c>
      <c r="FP101" s="22" t="s">
        <v>27</v>
      </c>
      <c r="FQ101" s="22" t="s">
        <v>15</v>
      </c>
      <c r="FR101" s="22" t="s">
        <v>7</v>
      </c>
      <c r="FS101" s="22" t="s">
        <v>8</v>
      </c>
      <c r="FT101" s="22" t="s">
        <v>9</v>
      </c>
      <c r="FU101" s="22" t="s">
        <v>10</v>
      </c>
      <c r="FV101" s="22" t="s">
        <v>11</v>
      </c>
      <c r="FW101" s="22" t="s">
        <v>12</v>
      </c>
      <c r="FX101" s="22" t="s">
        <v>13</v>
      </c>
      <c r="FY101" s="22" t="s">
        <v>14</v>
      </c>
      <c r="FZ101" s="22" t="s">
        <v>16</v>
      </c>
      <c r="GA101" s="22" t="s">
        <v>19</v>
      </c>
      <c r="GB101" s="22" t="s">
        <v>5</v>
      </c>
      <c r="GC101" s="22" t="s">
        <v>6</v>
      </c>
      <c r="GD101" s="22" t="s">
        <v>7</v>
      </c>
      <c r="GE101" s="22" t="s">
        <v>8</v>
      </c>
      <c r="GF101" s="22" t="s">
        <v>18</v>
      </c>
      <c r="GG101" s="22" t="s">
        <v>24</v>
      </c>
      <c r="GH101" s="22" t="s">
        <v>11</v>
      </c>
      <c r="GI101" s="22" t="s">
        <v>12</v>
      </c>
      <c r="GJ101" s="22" t="s">
        <v>13</v>
      </c>
      <c r="GK101" s="22" t="s">
        <v>14</v>
      </c>
      <c r="GL101" s="22" t="s">
        <v>22</v>
      </c>
      <c r="GM101" s="22" t="s">
        <v>4</v>
      </c>
      <c r="GN101" s="22" t="s">
        <v>5</v>
      </c>
      <c r="GO101" s="22" t="s">
        <v>6</v>
      </c>
      <c r="GP101" s="22" t="s">
        <v>7</v>
      </c>
      <c r="GQ101" s="22" t="s">
        <v>8</v>
      </c>
      <c r="GR101" s="22" t="s">
        <v>18</v>
      </c>
      <c r="GV101" s="20" t="s">
        <v>3</v>
      </c>
      <c r="GW101" s="21" t="s">
        <v>4</v>
      </c>
      <c r="GX101" s="20" t="s">
        <v>5</v>
      </c>
      <c r="GY101" s="20" t="s">
        <v>6</v>
      </c>
      <c r="GZ101" s="20" t="s">
        <v>7</v>
      </c>
      <c r="HA101" s="20" t="s">
        <v>8</v>
      </c>
      <c r="HB101" s="20" t="s">
        <v>9</v>
      </c>
      <c r="HC101" s="20" t="s">
        <v>10</v>
      </c>
      <c r="HD101" s="20" t="s">
        <v>11</v>
      </c>
      <c r="HE101" s="20" t="s">
        <v>12</v>
      </c>
      <c r="HF101" s="20" t="s">
        <v>13</v>
      </c>
      <c r="HG101" s="20" t="s">
        <v>14</v>
      </c>
      <c r="HH101" s="20" t="s">
        <v>3</v>
      </c>
      <c r="HI101" s="20" t="s">
        <v>4</v>
      </c>
      <c r="HJ101" s="20" t="s">
        <v>5</v>
      </c>
      <c r="HK101" s="20" t="s">
        <v>15</v>
      </c>
      <c r="HL101" s="22" t="s">
        <v>7</v>
      </c>
      <c r="HM101" s="22" t="s">
        <v>8</v>
      </c>
      <c r="HN101" s="22" t="s">
        <v>9</v>
      </c>
      <c r="HO101" s="22" t="s">
        <v>10</v>
      </c>
      <c r="HP101" s="22" t="s">
        <v>11</v>
      </c>
      <c r="HQ101" s="22" t="s">
        <v>12</v>
      </c>
      <c r="HR101" s="22" t="s">
        <v>13</v>
      </c>
      <c r="HS101" s="22" t="s">
        <v>14</v>
      </c>
      <c r="HT101" s="22" t="s">
        <v>16</v>
      </c>
      <c r="HU101" s="22" t="s">
        <v>4</v>
      </c>
      <c r="HV101" s="22" t="s">
        <v>5</v>
      </c>
      <c r="HW101" s="22" t="s">
        <v>6</v>
      </c>
      <c r="HX101" s="22" t="s">
        <v>17</v>
      </c>
      <c r="HY101" s="22" t="s">
        <v>8</v>
      </c>
      <c r="HZ101" s="22" t="s">
        <v>18</v>
      </c>
      <c r="IA101" s="22" t="s">
        <v>10</v>
      </c>
      <c r="IB101" s="22" t="s">
        <v>11</v>
      </c>
      <c r="IC101" s="22" t="s">
        <v>12</v>
      </c>
      <c r="ID101" s="22" t="s">
        <v>13</v>
      </c>
      <c r="IE101" s="22" t="s">
        <v>26</v>
      </c>
      <c r="IF101" s="22" t="s">
        <v>16</v>
      </c>
      <c r="IG101" s="22" t="s">
        <v>4</v>
      </c>
      <c r="IH101" s="22" t="s">
        <v>5</v>
      </c>
      <c r="II101" s="22" t="s">
        <v>6</v>
      </c>
      <c r="IJ101" s="22" t="s">
        <v>7</v>
      </c>
      <c r="IK101" s="22" t="s">
        <v>8</v>
      </c>
      <c r="IL101" s="22" t="s">
        <v>18</v>
      </c>
      <c r="IM101" s="22" t="s">
        <v>10</v>
      </c>
      <c r="IN101" s="22" t="s">
        <v>11</v>
      </c>
      <c r="IO101" s="22" t="s">
        <v>12</v>
      </c>
      <c r="IP101" s="22" t="s">
        <v>13</v>
      </c>
      <c r="IQ101" s="22" t="s">
        <v>14</v>
      </c>
      <c r="IR101" s="22" t="s">
        <v>3</v>
      </c>
      <c r="IS101" s="22" t="s">
        <v>4</v>
      </c>
      <c r="IT101" s="22" t="s">
        <v>5</v>
      </c>
      <c r="IU101" s="22" t="s">
        <v>15</v>
      </c>
      <c r="IV101" s="22" t="s">
        <v>7</v>
      </c>
      <c r="IW101" s="22" t="s">
        <v>8</v>
      </c>
      <c r="IX101" s="22" t="s">
        <v>18</v>
      </c>
      <c r="IY101" s="22" t="s">
        <v>10</v>
      </c>
      <c r="IZ101" s="22" t="s">
        <v>11</v>
      </c>
      <c r="JA101" s="22" t="s">
        <v>12</v>
      </c>
      <c r="JB101" s="22" t="s">
        <v>20</v>
      </c>
      <c r="JC101" s="22" t="s">
        <v>21</v>
      </c>
      <c r="JD101" s="22" t="s">
        <v>16</v>
      </c>
      <c r="JE101" s="22" t="s">
        <v>4</v>
      </c>
      <c r="JF101" s="22" t="s">
        <v>5</v>
      </c>
      <c r="JG101" s="22" t="s">
        <v>6</v>
      </c>
      <c r="JH101" s="22" t="s">
        <v>7</v>
      </c>
      <c r="JI101" s="22" t="s">
        <v>8</v>
      </c>
      <c r="JJ101" s="22" t="s">
        <v>9</v>
      </c>
      <c r="JK101" s="22" t="s">
        <v>10</v>
      </c>
      <c r="JL101" s="22" t="s">
        <v>11</v>
      </c>
      <c r="JM101" s="22" t="s">
        <v>12</v>
      </c>
      <c r="JN101" s="22" t="s">
        <v>20</v>
      </c>
      <c r="JO101" s="22" t="s">
        <v>21</v>
      </c>
      <c r="JP101" s="22" t="s">
        <v>22</v>
      </c>
      <c r="JQ101" s="22" t="s">
        <v>4</v>
      </c>
      <c r="JR101" s="22" t="s">
        <v>5</v>
      </c>
      <c r="JS101" s="22" t="s">
        <v>6</v>
      </c>
      <c r="JT101" s="22" t="s">
        <v>17</v>
      </c>
      <c r="JU101" s="22" t="s">
        <v>23</v>
      </c>
      <c r="JV101" s="22" t="s">
        <v>18</v>
      </c>
      <c r="JW101" s="22" t="s">
        <v>24</v>
      </c>
      <c r="JX101" s="22" t="s">
        <v>11</v>
      </c>
      <c r="JY101" s="22" t="s">
        <v>12</v>
      </c>
      <c r="JZ101" s="22" t="s">
        <v>13</v>
      </c>
      <c r="KA101" s="22" t="s">
        <v>14</v>
      </c>
      <c r="KB101" s="22" t="s">
        <v>22</v>
      </c>
      <c r="KC101" s="22" t="s">
        <v>4</v>
      </c>
      <c r="KD101" s="22" t="s">
        <v>5</v>
      </c>
      <c r="KE101" s="22" t="s">
        <v>6</v>
      </c>
      <c r="KF101" s="22" t="s">
        <v>17</v>
      </c>
      <c r="KG101" s="22" t="s">
        <v>8</v>
      </c>
      <c r="KH101" s="22" t="s">
        <v>18</v>
      </c>
      <c r="KI101" s="22" t="s">
        <v>10</v>
      </c>
      <c r="KJ101" s="22" t="s">
        <v>11</v>
      </c>
      <c r="KK101" s="22" t="s">
        <v>12</v>
      </c>
      <c r="KL101" s="22" t="s">
        <v>20</v>
      </c>
      <c r="KM101" s="22" t="s">
        <v>14</v>
      </c>
      <c r="KN101" s="22" t="s">
        <v>16</v>
      </c>
      <c r="KO101" s="22" t="s">
        <v>19</v>
      </c>
      <c r="KP101" s="22" t="s">
        <v>5</v>
      </c>
      <c r="KQ101" s="22" t="s">
        <v>6</v>
      </c>
      <c r="KR101" s="22" t="s">
        <v>7</v>
      </c>
      <c r="KS101" s="22" t="s">
        <v>8</v>
      </c>
      <c r="KT101" s="22" t="s">
        <v>18</v>
      </c>
      <c r="KU101" s="22" t="s">
        <v>24</v>
      </c>
      <c r="KV101" s="22" t="s">
        <v>11</v>
      </c>
      <c r="KW101" s="22" t="s">
        <v>12</v>
      </c>
      <c r="KX101" s="22" t="s">
        <v>20</v>
      </c>
      <c r="KY101" s="22" t="s">
        <v>14</v>
      </c>
      <c r="KZ101" s="22" t="s">
        <v>16</v>
      </c>
      <c r="LA101" s="22" t="s">
        <v>4</v>
      </c>
      <c r="LB101" s="22" t="s">
        <v>27</v>
      </c>
      <c r="LC101" s="22" t="s">
        <v>6</v>
      </c>
      <c r="LD101" s="22" t="s">
        <v>7</v>
      </c>
      <c r="LE101" s="22" t="s">
        <v>8</v>
      </c>
      <c r="LF101" s="22" t="s">
        <v>9</v>
      </c>
      <c r="LG101" s="22" t="s">
        <v>24</v>
      </c>
      <c r="LH101" s="22" t="s">
        <v>11</v>
      </c>
      <c r="LI101" s="22" t="s">
        <v>12</v>
      </c>
      <c r="LJ101" s="22" t="s">
        <v>20</v>
      </c>
      <c r="LK101" s="22" t="s">
        <v>14</v>
      </c>
      <c r="LL101" s="22" t="s">
        <v>22</v>
      </c>
      <c r="LM101" s="22" t="s">
        <v>19</v>
      </c>
      <c r="LN101" s="22" t="s">
        <v>5</v>
      </c>
      <c r="LO101" s="22" t="s">
        <v>15</v>
      </c>
      <c r="LP101" s="22" t="s">
        <v>7</v>
      </c>
      <c r="LQ101" s="22" t="s">
        <v>8</v>
      </c>
      <c r="LR101" s="22" t="s">
        <v>18</v>
      </c>
      <c r="LS101" s="22" t="s">
        <v>10</v>
      </c>
      <c r="LT101" s="22" t="s">
        <v>11</v>
      </c>
      <c r="LU101" s="22" t="s">
        <v>12</v>
      </c>
      <c r="LV101" s="22" t="s">
        <v>13</v>
      </c>
      <c r="LW101" s="22" t="s">
        <v>14</v>
      </c>
      <c r="LX101" s="22" t="s">
        <v>22</v>
      </c>
      <c r="LY101" s="22" t="s">
        <v>4</v>
      </c>
      <c r="LZ101" s="22" t="s">
        <v>5</v>
      </c>
      <c r="MA101" s="22" t="s">
        <v>6</v>
      </c>
      <c r="MB101" s="22" t="s">
        <v>17</v>
      </c>
      <c r="MC101" s="22" t="s">
        <v>8</v>
      </c>
      <c r="MD101" s="22" t="s">
        <v>18</v>
      </c>
      <c r="ME101" s="22" t="s">
        <v>24</v>
      </c>
      <c r="MF101" s="22" t="s">
        <v>11</v>
      </c>
      <c r="MG101" s="22" t="s">
        <v>101</v>
      </c>
      <c r="MH101" s="22" t="s">
        <v>20</v>
      </c>
      <c r="MI101" s="22" t="s">
        <v>14</v>
      </c>
      <c r="MJ101" s="22" t="s">
        <v>22</v>
      </c>
      <c r="MK101" s="22" t="s">
        <v>4</v>
      </c>
      <c r="ML101" s="22" t="s">
        <v>5</v>
      </c>
      <c r="MM101" s="22" t="s">
        <v>6</v>
      </c>
      <c r="MN101" s="22" t="s">
        <v>17</v>
      </c>
      <c r="MO101" s="22" t="s">
        <v>8</v>
      </c>
      <c r="MP101" s="22" t="s">
        <v>18</v>
      </c>
      <c r="MQ101" s="22" t="s">
        <v>24</v>
      </c>
      <c r="MR101" s="22" t="s">
        <v>11</v>
      </c>
      <c r="MS101" s="22" t="s">
        <v>12</v>
      </c>
      <c r="MT101" s="22" t="s">
        <v>20</v>
      </c>
      <c r="MU101" s="22" t="s">
        <v>14</v>
      </c>
      <c r="MV101" s="22" t="s">
        <v>22</v>
      </c>
      <c r="MW101" s="22" t="s">
        <v>4</v>
      </c>
      <c r="MX101" s="22" t="s">
        <v>5</v>
      </c>
      <c r="MY101" s="22" t="s">
        <v>6</v>
      </c>
      <c r="MZ101" s="22" t="s">
        <v>7</v>
      </c>
      <c r="NA101" s="22" t="s">
        <v>8</v>
      </c>
      <c r="NB101" s="22" t="s">
        <v>18</v>
      </c>
      <c r="NC101" s="22" t="s">
        <v>24</v>
      </c>
      <c r="ND101" s="22" t="s">
        <v>11</v>
      </c>
      <c r="NE101" s="22" t="s">
        <v>12</v>
      </c>
      <c r="NF101" s="22" t="s">
        <v>20</v>
      </c>
      <c r="NG101" s="22" t="s">
        <v>14</v>
      </c>
      <c r="NH101" s="22" t="s">
        <v>22</v>
      </c>
      <c r="NI101" s="22" t="s">
        <v>19</v>
      </c>
      <c r="NJ101" s="22" t="s">
        <v>27</v>
      </c>
      <c r="NK101" s="22" t="s">
        <v>6</v>
      </c>
      <c r="NL101" s="22" t="s">
        <v>7</v>
      </c>
      <c r="NM101" s="22" t="s">
        <v>8</v>
      </c>
      <c r="NN101" s="22" t="s">
        <v>9</v>
      </c>
      <c r="NO101" s="22" t="s">
        <v>10</v>
      </c>
      <c r="NP101" s="22" t="s">
        <v>11</v>
      </c>
      <c r="NQ101" s="22" t="s">
        <v>12</v>
      </c>
      <c r="NR101" s="22" t="s">
        <v>20</v>
      </c>
      <c r="NS101" s="22" t="s">
        <v>14</v>
      </c>
      <c r="NT101" s="22" t="s">
        <v>16</v>
      </c>
      <c r="NU101" s="22" t="s">
        <v>19</v>
      </c>
      <c r="NV101" s="22" t="s">
        <v>5</v>
      </c>
      <c r="NW101" s="22" t="s">
        <v>6</v>
      </c>
      <c r="NX101" s="22" t="s">
        <v>7</v>
      </c>
      <c r="NY101" s="22" t="s">
        <v>8</v>
      </c>
      <c r="NZ101" s="22" t="s">
        <v>18</v>
      </c>
      <c r="OA101" s="22" t="s">
        <v>24</v>
      </c>
      <c r="OB101" s="22" t="s">
        <v>11</v>
      </c>
      <c r="OC101" s="22" t="s">
        <v>12</v>
      </c>
      <c r="OD101" s="22" t="s">
        <v>13</v>
      </c>
      <c r="OE101" s="22" t="s">
        <v>14</v>
      </c>
      <c r="OF101" s="22" t="s">
        <v>16</v>
      </c>
      <c r="OG101" s="22" t="s">
        <v>4</v>
      </c>
      <c r="OH101" s="22" t="s">
        <v>5</v>
      </c>
      <c r="OI101" s="22" t="s">
        <v>15</v>
      </c>
      <c r="OJ101" s="22" t="s">
        <v>7</v>
      </c>
      <c r="OK101" s="22" t="s">
        <v>8</v>
      </c>
      <c r="OL101" s="22" t="s">
        <v>18</v>
      </c>
    </row>
    <row r="102" spans="1:402" s="145" customFormat="1" x14ac:dyDescent="0.35">
      <c r="A102" s="12"/>
      <c r="B102" s="151">
        <f>'[1]Sept 07'!H37</f>
        <v>0.90667454223272292</v>
      </c>
      <c r="C102" s="151">
        <f>'[1]Oct 07'!H37</f>
        <v>0.73048656005444024</v>
      </c>
      <c r="D102" s="151">
        <f>'[1]Nov 07'!H37</f>
        <v>0.95095095095095095</v>
      </c>
      <c r="E102" s="151">
        <f>'[1]Dec 07'!H37</f>
        <v>0.92955367913148368</v>
      </c>
      <c r="F102" s="151">
        <f>'[1]Jan 08'!H37</f>
        <v>0.90932777488275141</v>
      </c>
      <c r="G102" s="145">
        <v>0.89100000000000001</v>
      </c>
      <c r="H102" s="145">
        <f>'[1]Mar 08'!H37</f>
        <v>0.88798370672097759</v>
      </c>
      <c r="I102" s="145">
        <v>0.87030889648710508</v>
      </c>
      <c r="J102" s="145">
        <f>'[1]May 08'!H37</f>
        <v>0.88819418904008829</v>
      </c>
      <c r="K102" s="145">
        <f>'[1]Jun 08'!H45</f>
        <v>0.93555722569657518</v>
      </c>
      <c r="L102" s="145">
        <f>'[1]Jul 08'!H37</f>
        <v>0.78620443173695498</v>
      </c>
      <c r="M102" s="145">
        <f>'[1]Aug 08'!H45</f>
        <v>0.92771177784216796</v>
      </c>
      <c r="N102" s="145">
        <v>0.95499999999999996</v>
      </c>
      <c r="O102" s="145">
        <v>0.78400000000000003</v>
      </c>
      <c r="P102" s="145">
        <v>0.88700000000000001</v>
      </c>
      <c r="Q102" s="145">
        <v>0.86399999999999999</v>
      </c>
      <c r="R102" s="145">
        <v>0.81299999999999994</v>
      </c>
      <c r="S102" s="145">
        <v>0.94399999999999995</v>
      </c>
      <c r="T102" s="145">
        <v>0.83299999999999996</v>
      </c>
      <c r="U102" s="145">
        <v>0.84699999999999998</v>
      </c>
      <c r="V102" s="145">
        <v>0.83199999999999996</v>
      </c>
      <c r="W102" s="145">
        <v>0.90700000000000003</v>
      </c>
      <c r="X102" s="155" t="s">
        <v>50</v>
      </c>
      <c r="Y102" s="145">
        <v>0.64700000000000002</v>
      </c>
      <c r="Z102" s="145">
        <f>0</f>
        <v>0</v>
      </c>
      <c r="AA102" s="145">
        <v>0.82399999999999995</v>
      </c>
      <c r="AB102" s="145">
        <v>0.77300000000000002</v>
      </c>
      <c r="AC102" s="145">
        <v>0.877</v>
      </c>
      <c r="AD102" s="145">
        <v>0.79</v>
      </c>
      <c r="AE102" s="145">
        <v>0.81100000000000005</v>
      </c>
      <c r="AF102" s="145">
        <v>0.86899999999999999</v>
      </c>
      <c r="AG102" s="145">
        <v>0.81399999999999995</v>
      </c>
      <c r="AH102" s="145">
        <v>0.89300000000000002</v>
      </c>
      <c r="AI102" s="27">
        <v>0.879</v>
      </c>
      <c r="AJ102" s="27">
        <v>0.82199999999999995</v>
      </c>
      <c r="AK102" s="27">
        <v>0.76500000000000001</v>
      </c>
      <c r="AL102" s="27">
        <v>0.77900000000000003</v>
      </c>
      <c r="AM102" s="27">
        <v>0.79100000000000004</v>
      </c>
      <c r="AN102" s="27">
        <v>0.64200000000000002</v>
      </c>
      <c r="AO102" s="27">
        <v>0.86399999999999999</v>
      </c>
      <c r="AP102" s="27">
        <v>0.74399999999999999</v>
      </c>
      <c r="AQ102" s="27">
        <v>0.79500000000000004</v>
      </c>
      <c r="AR102" s="27">
        <v>0.85699999999999998</v>
      </c>
      <c r="AS102" s="145">
        <v>0.83799999999999997</v>
      </c>
      <c r="AT102" s="145">
        <v>0.83899999999999997</v>
      </c>
      <c r="AU102" s="145">
        <v>0.83799999999999997</v>
      </c>
      <c r="AV102" s="145" t="s">
        <v>30</v>
      </c>
      <c r="AW102" s="145">
        <f>3875000/4795000</f>
        <v>0.80813347236704902</v>
      </c>
      <c r="AX102" s="145">
        <v>0.77900000000000003</v>
      </c>
      <c r="AY102" s="145">
        <v>0.86599999999999999</v>
      </c>
      <c r="AZ102" s="145">
        <v>0.89700000000000002</v>
      </c>
      <c r="BA102" s="145">
        <v>0.86099999999999999</v>
      </c>
      <c r="BB102" s="145" t="s">
        <v>30</v>
      </c>
      <c r="BC102" s="145">
        <v>0.81299999999999994</v>
      </c>
      <c r="BD102" s="145">
        <v>0.54700000000000004</v>
      </c>
      <c r="BE102" s="145">
        <v>0.96099999999999997</v>
      </c>
      <c r="BF102" s="145">
        <v>0.85499999999999998</v>
      </c>
      <c r="BG102" s="145">
        <v>0.86699999999999999</v>
      </c>
      <c r="BH102" s="145">
        <v>0.85699999999999998</v>
      </c>
      <c r="BI102" s="145">
        <v>0.86599999999999999</v>
      </c>
      <c r="BJ102" s="145">
        <v>0.89600000000000002</v>
      </c>
      <c r="BK102" s="145">
        <v>0.83699999999999997</v>
      </c>
      <c r="BL102" s="145">
        <v>0.84499999999999997</v>
      </c>
      <c r="BM102" s="145">
        <v>0.91100000000000003</v>
      </c>
      <c r="BN102" s="145" t="s">
        <v>30</v>
      </c>
      <c r="BO102" s="145">
        <v>0.92300000000000004</v>
      </c>
      <c r="BP102" s="145">
        <v>0.83199999999999996</v>
      </c>
      <c r="BQ102" s="145">
        <v>0.85599999999999998</v>
      </c>
      <c r="BR102" s="145">
        <v>0.89300000000000002</v>
      </c>
      <c r="BS102" s="145" t="s">
        <v>30</v>
      </c>
      <c r="BT102" s="145">
        <v>0.84799999999999998</v>
      </c>
      <c r="BU102" s="145">
        <v>0.94499999999999995</v>
      </c>
      <c r="BV102" s="145">
        <v>0.91400000000000003</v>
      </c>
      <c r="BW102" s="145">
        <v>0.85099999999999998</v>
      </c>
      <c r="BX102" s="145">
        <v>0.93799999999999994</v>
      </c>
      <c r="BY102" s="145">
        <v>0.94</v>
      </c>
      <c r="BZ102" s="145">
        <v>0.93400000000000005</v>
      </c>
      <c r="CA102" s="145">
        <v>0.98099999999999998</v>
      </c>
      <c r="CB102" s="145">
        <v>0.93899999999999995</v>
      </c>
      <c r="CC102" s="145">
        <v>0.92400000000000004</v>
      </c>
      <c r="CD102" s="145">
        <v>0.92300000000000004</v>
      </c>
      <c r="CE102" s="145">
        <v>0.877</v>
      </c>
      <c r="CF102" s="145">
        <v>0.89500000000000002</v>
      </c>
      <c r="CG102" s="145">
        <v>0.90800000000000003</v>
      </c>
      <c r="CH102" s="145">
        <v>0.86</v>
      </c>
      <c r="CI102" s="145">
        <v>0.93</v>
      </c>
      <c r="CJ102" s="145">
        <v>0.97299999999999998</v>
      </c>
      <c r="CK102" s="145">
        <v>0.89900000000000002</v>
      </c>
      <c r="CL102" s="145">
        <v>0.89200000000000002</v>
      </c>
      <c r="CM102" s="145">
        <v>0.97199999999999998</v>
      </c>
      <c r="CN102" s="145">
        <v>0.88500000000000001</v>
      </c>
      <c r="CO102" s="145">
        <v>0.89</v>
      </c>
      <c r="CP102" s="145">
        <v>0.89400000000000002</v>
      </c>
      <c r="CQ102" s="145">
        <v>0.91200000000000003</v>
      </c>
      <c r="CR102" s="145">
        <v>0.81299999999999994</v>
      </c>
      <c r="CS102" s="145">
        <v>0</v>
      </c>
      <c r="CT102" s="145">
        <v>0.92400000000000004</v>
      </c>
      <c r="CU102" s="145">
        <v>0.872</v>
      </c>
      <c r="CV102" s="145">
        <v>0.89300000000000002</v>
      </c>
      <c r="CW102" s="145">
        <v>1.012</v>
      </c>
      <c r="CX102" s="145">
        <v>0.95299999999999996</v>
      </c>
      <c r="CY102" s="145">
        <v>0.91300000000000003</v>
      </c>
      <c r="CZ102" s="145">
        <v>0.90900000000000003</v>
      </c>
      <c r="DA102" s="145">
        <v>0.96399999999999997</v>
      </c>
      <c r="DB102" s="145">
        <v>0.92900000000000005</v>
      </c>
      <c r="DC102" s="145">
        <v>0.94699999999999995</v>
      </c>
      <c r="DD102" s="145">
        <v>0.89700000000000002</v>
      </c>
      <c r="DE102" s="145">
        <v>0.91100000000000003</v>
      </c>
      <c r="DF102" s="145">
        <v>0.97199999999999998</v>
      </c>
      <c r="DG102" s="145">
        <v>0.95199999999999996</v>
      </c>
      <c r="DH102" s="145">
        <v>0.94</v>
      </c>
      <c r="DI102" s="145">
        <v>0.92800000000000005</v>
      </c>
      <c r="DJ102" s="145">
        <v>0.89700000000000002</v>
      </c>
      <c r="DK102" s="145">
        <v>0.94299999999999995</v>
      </c>
      <c r="DL102" s="145">
        <v>0.94199999999999995</v>
      </c>
      <c r="DM102" s="145">
        <v>0.91300000000000003</v>
      </c>
      <c r="DN102" s="145">
        <v>0.88300000000000001</v>
      </c>
      <c r="DO102" s="145">
        <v>0.90100000000000002</v>
      </c>
      <c r="DP102" s="145">
        <v>0.94899999999999995</v>
      </c>
      <c r="DQ102" s="145">
        <v>0.91400000000000003</v>
      </c>
      <c r="DR102" s="145">
        <v>0.80800000000000005</v>
      </c>
      <c r="DS102" s="145">
        <v>0.94499999999999995</v>
      </c>
      <c r="DT102" s="145">
        <v>0.93400000000000005</v>
      </c>
      <c r="DU102" s="145">
        <v>0.89800000000000002</v>
      </c>
      <c r="DV102" s="145">
        <v>0.90700000000000003</v>
      </c>
      <c r="DW102" s="145">
        <v>0.96599999999999997</v>
      </c>
      <c r="DX102" s="145">
        <v>0.79800000000000004</v>
      </c>
      <c r="DY102" s="145">
        <v>0.92500000000000004</v>
      </c>
      <c r="DZ102" s="145">
        <v>0.92700000000000005</v>
      </c>
      <c r="EA102" s="145">
        <v>0.94899999999999995</v>
      </c>
      <c r="EB102" s="145">
        <v>0.86099999999999999</v>
      </c>
      <c r="EC102" s="145">
        <v>0.94399999999999995</v>
      </c>
      <c r="ED102" s="145">
        <v>0.99099999999999999</v>
      </c>
      <c r="EE102" s="145">
        <v>0.97699999999999998</v>
      </c>
      <c r="EF102" s="145">
        <v>0.96599999999999997</v>
      </c>
      <c r="EG102" s="145">
        <v>0.92900000000000005</v>
      </c>
      <c r="EH102" s="145">
        <v>0.96</v>
      </c>
      <c r="EI102" s="145">
        <v>0.82599999999999996</v>
      </c>
      <c r="EJ102" s="145">
        <v>0.94399999999999995</v>
      </c>
      <c r="EK102" s="145">
        <v>0.93799999999999994</v>
      </c>
      <c r="EL102" s="145">
        <v>0.94199999999999995</v>
      </c>
      <c r="EM102" s="145">
        <v>0.93300000000000005</v>
      </c>
      <c r="EN102" s="145">
        <v>0.91700000000000004</v>
      </c>
      <c r="EO102" s="145">
        <v>0.93899999999999995</v>
      </c>
      <c r="EP102" s="145" t="s">
        <v>30</v>
      </c>
      <c r="EQ102" s="145">
        <v>0.92400000000000004</v>
      </c>
      <c r="ER102" s="145">
        <v>0.95099999999999996</v>
      </c>
      <c r="ES102" s="145">
        <v>0.93400000000000005</v>
      </c>
      <c r="ET102" s="145">
        <v>0.95699999999999996</v>
      </c>
      <c r="EU102" s="145">
        <v>0.93899999999999995</v>
      </c>
      <c r="EV102" s="145">
        <v>0.95499999999999996</v>
      </c>
      <c r="EW102" s="145">
        <v>0.90200000000000002</v>
      </c>
      <c r="EX102" s="145">
        <v>0.98699999999999999</v>
      </c>
      <c r="EY102" s="145">
        <v>0.94</v>
      </c>
      <c r="EZ102" s="145">
        <v>0.94099999999999995</v>
      </c>
      <c r="FA102" s="145">
        <v>0.93500000000000005</v>
      </c>
      <c r="FB102" s="145">
        <v>0.96399999999999997</v>
      </c>
      <c r="FC102" s="145">
        <v>0.872</v>
      </c>
      <c r="FD102" s="145">
        <v>0.94899999999999995</v>
      </c>
      <c r="FE102" s="145">
        <v>0.96199999999999997</v>
      </c>
      <c r="FF102" s="145">
        <v>0.95599999999999996</v>
      </c>
      <c r="FG102" s="145">
        <v>0.91500000000000004</v>
      </c>
      <c r="FH102" s="145">
        <v>0.96499999999999997</v>
      </c>
      <c r="FI102" s="145">
        <v>0.95399999999999996</v>
      </c>
      <c r="FJ102" s="145">
        <v>0.96</v>
      </c>
      <c r="FK102" s="145">
        <v>0.96299999999999997</v>
      </c>
      <c r="FL102" s="145">
        <v>0.97499999999999998</v>
      </c>
      <c r="FM102" s="145">
        <v>0.95699999999999996</v>
      </c>
      <c r="FN102" s="145">
        <v>0.93799999999999994</v>
      </c>
      <c r="FO102" s="145">
        <v>0.95499999999999996</v>
      </c>
      <c r="FP102" s="145">
        <v>0.97399999999999998</v>
      </c>
      <c r="FQ102" s="145">
        <v>0.97899999999999998</v>
      </c>
      <c r="FR102" s="145">
        <v>0.92400000000000004</v>
      </c>
      <c r="FS102" s="145">
        <v>0.99099999999999999</v>
      </c>
      <c r="FT102" s="145">
        <v>0.97099999999999997</v>
      </c>
      <c r="FU102" s="145">
        <v>0.98599999999999999</v>
      </c>
      <c r="FV102" s="145">
        <v>0.98699999999999999</v>
      </c>
      <c r="FW102" s="145">
        <v>0.95799999999999996</v>
      </c>
      <c r="FX102" s="145">
        <v>0.95699999999999996</v>
      </c>
      <c r="FY102" s="145">
        <v>0.91700000000000004</v>
      </c>
      <c r="FZ102" s="145">
        <v>0.97</v>
      </c>
      <c r="GA102" s="145">
        <v>0.94599999999999995</v>
      </c>
      <c r="GB102" s="145">
        <v>0.97099999999999997</v>
      </c>
      <c r="GC102" s="145">
        <v>0.95399999999999996</v>
      </c>
      <c r="GD102" s="145">
        <v>0.95399999999999996</v>
      </c>
      <c r="GE102" s="145">
        <v>0.94799999999999995</v>
      </c>
      <c r="GF102" s="145">
        <v>0.95199999999999996</v>
      </c>
      <c r="GG102" s="145">
        <v>0.92800000000000005</v>
      </c>
      <c r="GH102" s="145">
        <v>0.94</v>
      </c>
      <c r="GI102" s="145">
        <v>0.96899999999999997</v>
      </c>
      <c r="GJ102" s="145">
        <v>0.95799999999999996</v>
      </c>
      <c r="GK102" s="145">
        <v>0.89</v>
      </c>
      <c r="GL102" s="145">
        <v>0.94799999999999995</v>
      </c>
      <c r="GM102" s="145">
        <v>0.97399999999999998</v>
      </c>
      <c r="GN102" s="145">
        <v>0.92100000000000004</v>
      </c>
      <c r="GO102" s="145">
        <v>0.95299999999999996</v>
      </c>
      <c r="GP102" s="145">
        <v>0.95699999999999996</v>
      </c>
      <c r="GQ102" s="145">
        <v>0.97099999999999997</v>
      </c>
      <c r="GR102" s="145">
        <v>0.96</v>
      </c>
      <c r="GS102" s="144"/>
      <c r="GT102" s="152"/>
      <c r="GU102" s="152"/>
      <c r="GV102" s="151">
        <f>'[1]Sept 07'!H39</f>
        <v>8.130081300813009E-3</v>
      </c>
      <c r="GW102" s="151">
        <f>'[1]Oct 07'!H47</f>
        <v>6.0887512899896801E-2</v>
      </c>
      <c r="GX102" s="151">
        <f>'[1]Nov 07'!H39</f>
        <v>3.4364261168384879E-3</v>
      </c>
      <c r="GY102" s="151">
        <f>'[1]Dec 07'!H39</f>
        <v>6.6666666666666671E-3</v>
      </c>
      <c r="GZ102" s="145">
        <f>'[1]Jan 08'!H39</f>
        <v>6.0606060606060606E-3</v>
      </c>
      <c r="HA102" s="145">
        <v>5.2999999999999999E-2</v>
      </c>
      <c r="HB102" s="145">
        <f>'[1]Mar 08'!H47</f>
        <v>5.7156133828996279E-2</v>
      </c>
      <c r="HC102" s="145">
        <v>6.3544363379618732E-2</v>
      </c>
      <c r="HD102" s="145">
        <f>'[1]May 08'!H39</f>
        <v>1.238390092879257E-2</v>
      </c>
      <c r="HE102" s="145">
        <f>'[1]Jun 08'!H39</f>
        <v>1.0101010101010102E-2</v>
      </c>
      <c r="HF102" s="145">
        <f>'[1]Jul 08'!H39</f>
        <v>7.2202166064981952E-3</v>
      </c>
      <c r="HG102" s="145">
        <v>1.4999999999999999E-2</v>
      </c>
      <c r="HH102" s="145">
        <v>2.1999999999999999E-2</v>
      </c>
      <c r="HI102" s="145">
        <v>3.0000000000000001E-3</v>
      </c>
      <c r="HJ102" s="145">
        <v>2.4E-2</v>
      </c>
      <c r="HK102" s="145">
        <v>1.4E-2</v>
      </c>
      <c r="HL102" s="145">
        <v>7.0000000000000001E-3</v>
      </c>
      <c r="HM102" s="145">
        <v>1.0999999999999999E-2</v>
      </c>
      <c r="HN102" s="145">
        <v>2.4E-2</v>
      </c>
      <c r="HO102" s="145">
        <v>2.1999999999999999E-2</v>
      </c>
      <c r="HP102" s="145">
        <v>0.02</v>
      </c>
      <c r="HQ102" s="145">
        <v>1.0999999999999999E-2</v>
      </c>
      <c r="HR102" s="145">
        <v>1.2999999999999999E-2</v>
      </c>
      <c r="HS102" s="145">
        <v>1.2999999999999999E-2</v>
      </c>
      <c r="HT102" s="145">
        <v>0</v>
      </c>
      <c r="HU102" s="145">
        <v>1.9E-2</v>
      </c>
      <c r="HV102" s="145">
        <v>1.2999999999999999E-2</v>
      </c>
      <c r="HW102" s="145">
        <v>7.0000000000000001E-3</v>
      </c>
      <c r="HX102" s="145">
        <v>2.7E-2</v>
      </c>
      <c r="HY102" s="145">
        <v>2.1000000000000001E-2</v>
      </c>
      <c r="HZ102" s="145">
        <v>1.4999999999999999E-2</v>
      </c>
      <c r="IA102" s="145">
        <v>3.1E-2</v>
      </c>
      <c r="IB102" s="145">
        <v>4.4999999999999998E-2</v>
      </c>
      <c r="IC102" s="145">
        <v>3.2000000000000001E-2</v>
      </c>
      <c r="ID102" s="145">
        <v>2.5999999999999999E-2</v>
      </c>
      <c r="IE102" s="145">
        <v>2.5999999999999999E-2</v>
      </c>
      <c r="IF102" s="145">
        <v>1.9E-2</v>
      </c>
      <c r="IG102" s="145">
        <v>5.0000000000000001E-3</v>
      </c>
      <c r="IH102" s="145">
        <v>8.9999999999999993E-3</v>
      </c>
      <c r="II102" s="145">
        <v>6.4000000000000001E-2</v>
      </c>
      <c r="IJ102" s="145">
        <v>8.9999999999999993E-3</v>
      </c>
      <c r="IK102" s="145">
        <v>1.7999999999999999E-2</v>
      </c>
      <c r="IL102" s="145">
        <v>3.7999999999999999E-2</v>
      </c>
      <c r="IM102" s="145">
        <v>2.8000000000000001E-2</v>
      </c>
      <c r="IN102" s="145">
        <v>4.1000000000000002E-2</v>
      </c>
      <c r="IO102" s="145">
        <v>7.5999999999999998E-2</v>
      </c>
      <c r="IP102" s="145">
        <v>0</v>
      </c>
      <c r="IQ102" s="145">
        <v>1.0999999999999999E-2</v>
      </c>
      <c r="IR102" s="145">
        <v>2.1999999999999999E-2</v>
      </c>
      <c r="IS102" s="145">
        <v>3.2000000000000001E-2</v>
      </c>
      <c r="IT102" s="145">
        <v>2.1999999999999999E-2</v>
      </c>
      <c r="IU102" s="145">
        <v>4.4999999999999998E-2</v>
      </c>
      <c r="IV102" s="145">
        <v>0</v>
      </c>
      <c r="IW102" s="145">
        <v>0.01</v>
      </c>
      <c r="IX102" s="145">
        <v>3.1E-2</v>
      </c>
      <c r="IY102" s="145">
        <v>1.0999999999999999E-2</v>
      </c>
      <c r="IZ102" s="145">
        <v>9.5000000000000001E-2</v>
      </c>
      <c r="JA102" s="145">
        <v>3.7999999999999999E-2</v>
      </c>
      <c r="JB102" s="145">
        <v>1.2999999999999999E-2</v>
      </c>
      <c r="JC102" s="145">
        <v>2.5999999999999999E-2</v>
      </c>
      <c r="JD102" s="145">
        <v>1.2E-2</v>
      </c>
      <c r="JE102" s="145">
        <v>2.1999999999999999E-2</v>
      </c>
      <c r="JF102" s="145">
        <v>1.9E-2</v>
      </c>
      <c r="JG102" s="145">
        <v>3.7999999999999999E-2</v>
      </c>
      <c r="JH102" s="145">
        <v>0</v>
      </c>
      <c r="JI102" s="145">
        <v>1.7000000000000001E-2</v>
      </c>
      <c r="JJ102" s="145">
        <v>1.7000000000000001E-2</v>
      </c>
      <c r="JK102" s="145">
        <v>2.5999999999999999E-2</v>
      </c>
      <c r="JL102" s="145">
        <v>1.9E-2</v>
      </c>
      <c r="JM102" s="145">
        <v>0</v>
      </c>
      <c r="JN102" s="145">
        <v>3.5999999999999997E-2</v>
      </c>
      <c r="JO102" s="145">
        <v>4.4999999999999998E-2</v>
      </c>
      <c r="JP102" s="145">
        <v>2.1000000000000001E-2</v>
      </c>
      <c r="JQ102" s="145">
        <v>2.5000000000000001E-2</v>
      </c>
      <c r="JR102" s="145">
        <v>1.6E-2</v>
      </c>
      <c r="JS102" s="145">
        <v>2.3E-2</v>
      </c>
      <c r="JT102" s="145">
        <v>2.9000000000000001E-2</v>
      </c>
      <c r="JU102" s="145">
        <v>7.0000000000000001E-3</v>
      </c>
      <c r="JV102" s="145">
        <v>2.1000000000000001E-2</v>
      </c>
      <c r="JW102" s="145">
        <v>2.9000000000000001E-2</v>
      </c>
      <c r="JX102" s="145">
        <v>3.7999999999999999E-2</v>
      </c>
      <c r="JY102" s="145">
        <v>3.6999999999999998E-2</v>
      </c>
      <c r="JZ102" s="145">
        <v>0.01</v>
      </c>
      <c r="KA102" s="145">
        <v>0.05</v>
      </c>
      <c r="KB102" s="145">
        <v>2.8000000000000001E-2</v>
      </c>
      <c r="KC102" s="145">
        <v>8.0000000000000002E-3</v>
      </c>
      <c r="KD102" s="145">
        <v>2.1999999999999999E-2</v>
      </c>
      <c r="KE102" s="145">
        <v>4.2999999999999997E-2</v>
      </c>
      <c r="KF102" s="145">
        <v>0.02</v>
      </c>
      <c r="KG102" s="145">
        <v>2.5000000000000001E-2</v>
      </c>
      <c r="KH102" s="145">
        <v>1.9E-2</v>
      </c>
      <c r="KI102" s="145">
        <v>6.9000000000000006E-2</v>
      </c>
      <c r="KJ102" s="145">
        <v>4.7E-2</v>
      </c>
      <c r="KK102" s="145">
        <v>7.5999999999999998E-2</v>
      </c>
      <c r="KL102" s="145">
        <v>0.01</v>
      </c>
      <c r="KM102" s="145">
        <v>0</v>
      </c>
      <c r="KN102" s="145">
        <v>1.7999999999999999E-2</v>
      </c>
      <c r="KO102" s="145">
        <v>1.4999999999999999E-2</v>
      </c>
      <c r="KP102" s="145">
        <v>3.7999999999999999E-2</v>
      </c>
      <c r="KQ102" s="145">
        <v>2.1999999999999999E-2</v>
      </c>
      <c r="KR102" s="145">
        <v>3.9E-2</v>
      </c>
      <c r="KS102" s="145">
        <v>1.7999999999999999E-2</v>
      </c>
      <c r="KT102" s="145">
        <v>3.1E-2</v>
      </c>
      <c r="KU102" s="145">
        <v>1.2999999999999999E-2</v>
      </c>
      <c r="KV102" s="145">
        <v>4.7E-2</v>
      </c>
      <c r="KW102" s="145">
        <v>3.3000000000000002E-2</v>
      </c>
      <c r="KX102" s="145">
        <v>3.6999999999999998E-2</v>
      </c>
      <c r="KY102" s="145">
        <v>2.8000000000000001E-2</v>
      </c>
      <c r="KZ102" s="145">
        <v>3.3000000000000002E-2</v>
      </c>
      <c r="LA102" s="145">
        <v>5.0999999999999997E-2</v>
      </c>
      <c r="LB102" s="145">
        <v>1.4E-2</v>
      </c>
      <c r="LC102" s="145">
        <v>1.2999999999999999E-2</v>
      </c>
      <c r="LD102" s="145">
        <v>6.0000000000000001E-3</v>
      </c>
      <c r="LE102" s="145">
        <v>3.4000000000000002E-2</v>
      </c>
      <c r="LF102" s="145">
        <v>4.3999999999999997E-2</v>
      </c>
      <c r="LG102" s="145">
        <v>6.8000000000000005E-2</v>
      </c>
      <c r="LH102" s="145">
        <v>0.09</v>
      </c>
      <c r="LI102" s="145">
        <v>5.5E-2</v>
      </c>
      <c r="LJ102" s="145">
        <v>0.01</v>
      </c>
      <c r="LK102" s="145">
        <v>0.05</v>
      </c>
      <c r="LL102" s="145">
        <v>1.7000000000000001E-2</v>
      </c>
      <c r="LM102" s="145">
        <v>1.4999999999999999E-2</v>
      </c>
      <c r="LN102" s="145">
        <v>5.0999999999999997E-2</v>
      </c>
      <c r="LO102" s="145">
        <v>2.1000000000000001E-2</v>
      </c>
      <c r="LP102" s="145">
        <v>4.3999999999999997E-2</v>
      </c>
      <c r="LQ102" s="145">
        <v>1.2999999999999999E-2</v>
      </c>
      <c r="LR102" s="145">
        <v>3.2000000000000001E-2</v>
      </c>
      <c r="LS102" s="145">
        <v>4.7E-2</v>
      </c>
      <c r="LT102" s="145">
        <v>0.121</v>
      </c>
      <c r="LU102" s="145">
        <v>7.2999999999999995E-2</v>
      </c>
      <c r="LV102" s="145">
        <v>0.02</v>
      </c>
      <c r="LW102" s="145">
        <v>3.2000000000000001E-2</v>
      </c>
      <c r="LX102" s="145">
        <v>2.7E-2</v>
      </c>
      <c r="LY102" s="145">
        <v>1.6E-2</v>
      </c>
      <c r="LZ102" s="145">
        <v>1.4E-2</v>
      </c>
      <c r="MA102" s="145">
        <v>1.2999999999999999E-2</v>
      </c>
      <c r="MB102" s="145">
        <v>1.2999999999999999E-2</v>
      </c>
      <c r="MC102" s="145">
        <v>0.05</v>
      </c>
      <c r="MD102" s="145">
        <v>4.8000000000000001E-2</v>
      </c>
      <c r="ME102" s="145">
        <v>6.3E-2</v>
      </c>
      <c r="MF102" s="145">
        <v>8.2000000000000003E-2</v>
      </c>
      <c r="MG102" s="145">
        <v>7.8E-2</v>
      </c>
      <c r="MH102" s="145">
        <v>2.7E-2</v>
      </c>
      <c r="MI102" s="145">
        <v>1.7999999999999999E-2</v>
      </c>
      <c r="MJ102" s="145">
        <v>0</v>
      </c>
      <c r="MK102" s="145">
        <v>4.2000000000000003E-2</v>
      </c>
      <c r="ML102" s="145">
        <v>0.04</v>
      </c>
      <c r="MM102" s="145">
        <v>0.06</v>
      </c>
      <c r="MN102" s="145">
        <v>5.7000000000000002E-2</v>
      </c>
      <c r="MO102" s="145">
        <v>5.6000000000000001E-2</v>
      </c>
      <c r="MP102" s="145">
        <v>6.2E-2</v>
      </c>
      <c r="MQ102" s="145">
        <v>4.3999999999999997E-2</v>
      </c>
      <c r="MR102" s="145">
        <v>2.1999999999999999E-2</v>
      </c>
      <c r="MS102" s="145">
        <v>5.3999999999999999E-2</v>
      </c>
      <c r="MT102" s="145">
        <v>0.11</v>
      </c>
      <c r="MU102" s="145">
        <v>0.13200000000000001</v>
      </c>
      <c r="MV102" s="145">
        <v>0.10299999999999999</v>
      </c>
      <c r="MW102" s="145">
        <v>0.11899999999999999</v>
      </c>
      <c r="MX102" s="145">
        <v>0.19</v>
      </c>
      <c r="MY102" s="145">
        <v>0.21099999999999999</v>
      </c>
      <c r="MZ102" s="145">
        <v>0.28000000000000003</v>
      </c>
      <c r="NA102" s="145">
        <v>0.30199999999999999</v>
      </c>
      <c r="NB102" s="145">
        <v>0.28100000000000003</v>
      </c>
      <c r="NC102" s="145">
        <v>0.193</v>
      </c>
      <c r="ND102" s="145">
        <v>0.28399999999999997</v>
      </c>
      <c r="NE102" s="145">
        <v>0.27600000000000002</v>
      </c>
      <c r="NF102" s="145">
        <v>0.24</v>
      </c>
      <c r="NG102" s="145">
        <v>0.13500000000000001</v>
      </c>
      <c r="NH102" s="145">
        <v>0.18099999999999999</v>
      </c>
      <c r="NI102" s="145">
        <v>0.222</v>
      </c>
      <c r="NJ102" s="145">
        <v>0.17499999999999999</v>
      </c>
      <c r="NK102" s="145">
        <v>0.17499999999999999</v>
      </c>
      <c r="NL102" s="145">
        <v>0.215</v>
      </c>
      <c r="NM102" s="145">
        <v>0.24299999999999999</v>
      </c>
      <c r="NN102" s="145">
        <v>0.34599999999999997</v>
      </c>
      <c r="NO102" s="145">
        <v>0.32500000000000001</v>
      </c>
      <c r="NP102" s="145">
        <v>0.32300000000000001</v>
      </c>
      <c r="NQ102" s="145">
        <v>0.20100000000000001</v>
      </c>
      <c r="NR102" s="145">
        <v>0.127</v>
      </c>
      <c r="NS102" s="145">
        <v>0.20799999999999999</v>
      </c>
      <c r="NT102" s="145">
        <v>7.3999999999999996E-2</v>
      </c>
      <c r="NU102" s="145">
        <v>0.112</v>
      </c>
      <c r="NV102" s="145">
        <v>0.121</v>
      </c>
      <c r="NW102" s="145">
        <v>0.1</v>
      </c>
      <c r="NX102" s="145">
        <v>6.3E-2</v>
      </c>
      <c r="NY102" s="145">
        <v>0.106</v>
      </c>
      <c r="NZ102" s="145">
        <v>0.17199999999999999</v>
      </c>
      <c r="OA102" s="145">
        <v>9.2999999999999999E-2</v>
      </c>
      <c r="OB102" s="145">
        <v>0.19900000000000001</v>
      </c>
      <c r="OC102" s="145">
        <v>0.24299999999999999</v>
      </c>
      <c r="OD102" s="145">
        <v>0.151</v>
      </c>
      <c r="OE102" s="145">
        <v>0.112</v>
      </c>
      <c r="OF102" s="145">
        <v>0.10199999999999999</v>
      </c>
      <c r="OG102" s="145">
        <v>0.13200000000000001</v>
      </c>
      <c r="OH102" s="145">
        <v>7.1999999999999995E-2</v>
      </c>
      <c r="OI102" s="145">
        <v>0.156</v>
      </c>
      <c r="OJ102" s="145">
        <v>7.6999999999999999E-2</v>
      </c>
      <c r="OK102" s="145">
        <v>7.1999999999999995E-2</v>
      </c>
      <c r="OL102" s="145">
        <v>0.12</v>
      </c>
    </row>
    <row r="103" spans="1:402" x14ac:dyDescent="0.35">
      <c r="B103" s="25"/>
      <c r="C103" s="25"/>
      <c r="D103" s="25"/>
      <c r="E103" s="25"/>
      <c r="F103" s="25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48"/>
      <c r="GT103" s="49"/>
      <c r="GV103" s="25"/>
      <c r="GW103" s="25"/>
      <c r="GX103" s="25"/>
      <c r="GY103" s="25"/>
    </row>
    <row r="104" spans="1:402" customFormat="1" ht="14.5" x14ac:dyDescent="0.35">
      <c r="A104" s="28" t="s">
        <v>51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Z104" s="2"/>
      <c r="HA104" s="2"/>
      <c r="HB104" s="2"/>
      <c r="HC104" s="2"/>
      <c r="HD104" s="2"/>
      <c r="HE104" s="2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</row>
    <row r="105" spans="1:402" ht="14.5" x14ac:dyDescent="0.35">
      <c r="A105" s="3"/>
      <c r="N105" s="50" t="s">
        <v>52</v>
      </c>
    </row>
    <row r="119" spans="1:1" ht="14.5" x14ac:dyDescent="0.35">
      <c r="A119" s="28"/>
    </row>
  </sheetData>
  <mergeCells count="2">
    <mergeCell ref="B39:E39"/>
    <mergeCell ref="F39:K39"/>
  </mergeCells>
  <pageMargins left="0.7" right="0.7" top="0.75" bottom="0.75" header="0.3" footer="0.3"/>
  <pageSetup scale="74" orientation="landscape" r:id="rId1"/>
  <rowBreaks count="1" manualBreakCount="1">
    <brk id="5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590C2-D344-42FF-973C-6D165849AC74}"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209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940</v>
      </c>
      <c r="D5" s="89">
        <v>549.58000000000004</v>
      </c>
      <c r="E5" s="90">
        <v>99</v>
      </c>
      <c r="F5" s="91" t="s">
        <v>60</v>
      </c>
      <c r="G5" s="92">
        <f>1338760/1379106</f>
        <v>0.97074481584446737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117</v>
      </c>
      <c r="D7" s="167">
        <v>520.41</v>
      </c>
      <c r="E7" s="97">
        <v>68</v>
      </c>
      <c r="F7" s="91" t="s">
        <v>61</v>
      </c>
      <c r="G7" s="92">
        <f>C11/C5</f>
        <v>0.29042553191489362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195</v>
      </c>
      <c r="D9" s="169">
        <v>522.02</v>
      </c>
      <c r="E9" s="107">
        <v>69</v>
      </c>
      <c r="F9" s="91" t="s">
        <v>62</v>
      </c>
      <c r="G9" s="92">
        <f>C13/C5</f>
        <v>2.4468085106382979E-2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273</v>
      </c>
      <c r="D11" s="169">
        <v>453.86</v>
      </c>
      <c r="E11" s="107">
        <v>61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23</v>
      </c>
      <c r="D13" s="170">
        <v>492.94</v>
      </c>
      <c r="E13" s="111">
        <v>108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313</v>
      </c>
      <c r="D15" s="89">
        <v>398.99</v>
      </c>
      <c r="E15" s="90">
        <v>86</v>
      </c>
      <c r="F15" s="91" t="s">
        <v>60</v>
      </c>
      <c r="G15" s="92">
        <f>760424/774064</f>
        <v>0.98237871803881849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43</v>
      </c>
      <c r="D17" s="96">
        <v>407.03</v>
      </c>
      <c r="E17" s="97">
        <v>67</v>
      </c>
      <c r="F17" s="91" t="s">
        <v>61</v>
      </c>
      <c r="G17" s="92">
        <f>C21/C15</f>
        <v>0.43769968051118213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65</v>
      </c>
      <c r="D19" s="106">
        <v>380.83</v>
      </c>
      <c r="E19" s="107">
        <v>45</v>
      </c>
      <c r="F19" s="91" t="s">
        <v>62</v>
      </c>
      <c r="G19" s="92">
        <f>C23/C15</f>
        <v>3.1948881789137379E-2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137</v>
      </c>
      <c r="D21" s="106">
        <v>378.7</v>
      </c>
      <c r="E21" s="107">
        <v>51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10</v>
      </c>
      <c r="D23" s="110">
        <v>401.91</v>
      </c>
      <c r="E23" s="111">
        <v>87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172</v>
      </c>
      <c r="D25" s="96">
        <v>453.21</v>
      </c>
      <c r="E25" s="90">
        <v>67</v>
      </c>
      <c r="F25" s="91" t="s">
        <v>60</v>
      </c>
      <c r="G25" s="92">
        <f>1225653/1260446</f>
        <v>0.97239627877751211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31</v>
      </c>
      <c r="D27" s="106">
        <v>434.16</v>
      </c>
      <c r="E27" s="97">
        <v>55</v>
      </c>
      <c r="F27" s="91" t="s">
        <v>61</v>
      </c>
      <c r="G27" s="92">
        <f>C31/C25</f>
        <v>0.33720930232558138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39</v>
      </c>
      <c r="D29" s="96">
        <v>456.93</v>
      </c>
      <c r="E29" s="107">
        <v>30</v>
      </c>
      <c r="F29" s="91" t="s">
        <v>62</v>
      </c>
      <c r="G29" s="92">
        <f>C33/C25</f>
        <v>1.7441860465116279E-2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58</v>
      </c>
      <c r="D31" s="106">
        <v>454.71</v>
      </c>
      <c r="E31" s="107">
        <v>83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498.11</v>
      </c>
      <c r="E33" s="111">
        <v>110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133</v>
      </c>
      <c r="D35" s="96">
        <v>521.74</v>
      </c>
      <c r="E35" s="90">
        <v>68</v>
      </c>
      <c r="F35" s="91" t="s">
        <v>60</v>
      </c>
      <c r="G35" s="92">
        <f>1700631/1753818</f>
        <v>0.96967359212871573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9</v>
      </c>
      <c r="D37" s="106">
        <v>506.83</v>
      </c>
      <c r="E37" s="97">
        <v>65</v>
      </c>
      <c r="F37" s="91" t="s">
        <v>61</v>
      </c>
      <c r="G37" s="92">
        <f>C41/C35</f>
        <v>0.24812030075187969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25</v>
      </c>
      <c r="D39" s="96">
        <v>539.47</v>
      </c>
      <c r="E39" s="107">
        <v>69</v>
      </c>
      <c r="F39" s="91" t="s">
        <v>62</v>
      </c>
      <c r="G39" s="92">
        <f>C43/C35</f>
        <v>2.2556390977443608E-2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33</v>
      </c>
      <c r="D41" s="106">
        <v>489.49</v>
      </c>
      <c r="E41" s="107">
        <v>62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3</v>
      </c>
      <c r="D43" s="110">
        <v>519.28</v>
      </c>
      <c r="E43" s="111">
        <v>91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135</v>
      </c>
      <c r="D45" s="96">
        <v>609.23</v>
      </c>
      <c r="E45" s="90">
        <v>92</v>
      </c>
      <c r="F45" s="91" t="s">
        <v>60</v>
      </c>
      <c r="G45" s="92">
        <f>2445184/2503594</f>
        <v>0.97666953986948368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19</v>
      </c>
      <c r="D47" s="106">
        <v>642.69000000000005</v>
      </c>
      <c r="E47" s="97">
        <v>80</v>
      </c>
      <c r="F47" s="91" t="s">
        <v>61</v>
      </c>
      <c r="G47" s="92">
        <f>C51/C45</f>
        <v>0.19259259259259259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33</v>
      </c>
      <c r="D49" s="96">
        <v>588.25</v>
      </c>
      <c r="E49" s="107">
        <v>99</v>
      </c>
      <c r="F49" s="91" t="s">
        <v>62</v>
      </c>
      <c r="G49" s="92">
        <f>C53/C45</f>
        <v>3.7037037037037035E-2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26</v>
      </c>
      <c r="D51" s="106">
        <v>607.87</v>
      </c>
      <c r="E51" s="107">
        <v>67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577.25</v>
      </c>
      <c r="E53" s="111">
        <v>145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187</v>
      </c>
      <c r="D55" s="89">
        <v>867.05</v>
      </c>
      <c r="E55" s="123">
        <v>175</v>
      </c>
      <c r="F55" s="91" t="s">
        <v>60</v>
      </c>
      <c r="G55" s="164">
        <f>3711573/3914415</f>
        <v>0.94818076264269369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15</v>
      </c>
      <c r="D57" s="96">
        <v>876.91</v>
      </c>
      <c r="E57" s="133">
        <v>85</v>
      </c>
      <c r="F57" s="91" t="s">
        <v>61</v>
      </c>
      <c r="G57" s="92">
        <f>C61/C55</f>
        <v>0.10160427807486631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33</v>
      </c>
      <c r="D59" s="106">
        <v>797.57</v>
      </c>
      <c r="E59" s="107">
        <v>134</v>
      </c>
      <c r="F59" s="91" t="s">
        <v>62</v>
      </c>
      <c r="G59" s="92">
        <f>C63/C55</f>
        <v>1.06951871657754E-2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19</v>
      </c>
      <c r="D61" s="106">
        <v>720.55</v>
      </c>
      <c r="E61" s="107">
        <v>61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690.09</v>
      </c>
      <c r="E63" s="111">
        <v>146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210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F682-DA9B-417E-A7B1-5646EA5130A2}">
  <dimension ref="A1:M65"/>
  <sheetViews>
    <sheetView view="pageBreakPreview" zoomScaleNormal="100" zoomScaleSheetLayoutView="100" workbookViewId="0">
      <selection activeCell="K13" sqref="K13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206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849</v>
      </c>
      <c r="D5" s="89">
        <v>551.39</v>
      </c>
      <c r="E5" s="90">
        <v>103</v>
      </c>
      <c r="F5" s="91" t="s">
        <v>60</v>
      </c>
      <c r="G5" s="92">
        <v>0.95399999999999996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131</v>
      </c>
      <c r="D7" s="167">
        <v>463.94</v>
      </c>
      <c r="E7" s="97">
        <v>79</v>
      </c>
      <c r="F7" s="91" t="s">
        <v>61</v>
      </c>
      <c r="G7" s="92">
        <f>C11/C5</f>
        <v>0.39340400471142523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186</v>
      </c>
      <c r="D9" s="169">
        <v>521.52</v>
      </c>
      <c r="E9" s="107">
        <v>78</v>
      </c>
      <c r="F9" s="91" t="s">
        <v>62</v>
      </c>
      <c r="G9" s="92">
        <f>C13/C5</f>
        <v>3.6513545347467612E-2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334</v>
      </c>
      <c r="D11" s="169">
        <v>450.21</v>
      </c>
      <c r="E11" s="107">
        <v>74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31</v>
      </c>
      <c r="D13" s="170">
        <v>559.84</v>
      </c>
      <c r="E13" s="111">
        <v>140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294</v>
      </c>
      <c r="D15" s="89">
        <v>396.97</v>
      </c>
      <c r="E15" s="90">
        <v>88</v>
      </c>
      <c r="F15" s="91" t="s">
        <v>60</v>
      </c>
      <c r="G15" s="92">
        <f>762313/772518</f>
        <v>0.98678995181989282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59</v>
      </c>
      <c r="D17" s="96">
        <v>387.26</v>
      </c>
      <c r="E17" s="97">
        <v>55</v>
      </c>
      <c r="F17" s="91" t="s">
        <v>61</v>
      </c>
      <c r="G17" s="92">
        <f>C21/C15</f>
        <v>0.54421768707482998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73</v>
      </c>
      <c r="D19" s="106">
        <v>385.82</v>
      </c>
      <c r="E19" s="107">
        <v>57</v>
      </c>
      <c r="F19" s="91" t="s">
        <v>62</v>
      </c>
      <c r="G19" s="92">
        <f>C23/C15</f>
        <v>3.0612244897959183E-2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160</v>
      </c>
      <c r="D21" s="106">
        <v>388.21</v>
      </c>
      <c r="E21" s="107">
        <v>60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9</v>
      </c>
      <c r="D23" s="110">
        <v>420.15</v>
      </c>
      <c r="E23" s="111">
        <v>72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151</v>
      </c>
      <c r="D25" s="96">
        <v>445.54</v>
      </c>
      <c r="E25" s="90">
        <v>71</v>
      </c>
      <c r="F25" s="91" t="s">
        <v>60</v>
      </c>
      <c r="G25" s="92">
        <f>1197808/1236016</f>
        <v>0.96908777879897989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32</v>
      </c>
      <c r="D27" s="106">
        <v>450.87</v>
      </c>
      <c r="E27" s="97">
        <v>97</v>
      </c>
      <c r="F27" s="91" t="s">
        <v>61</v>
      </c>
      <c r="G27" s="92">
        <f>C31/C25</f>
        <v>0.49668874172185429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30</v>
      </c>
      <c r="D29" s="96">
        <v>469.29</v>
      </c>
      <c r="E29" s="107">
        <v>84</v>
      </c>
      <c r="F29" s="91" t="s">
        <v>62</v>
      </c>
      <c r="G29" s="92">
        <f>C33/C25</f>
        <v>4.6357615894039736E-2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75</v>
      </c>
      <c r="D31" s="106">
        <v>447.51</v>
      </c>
      <c r="E31" s="107">
        <v>68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7</v>
      </c>
      <c r="D33" s="110">
        <v>455.22</v>
      </c>
      <c r="E33" s="111">
        <v>191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110</v>
      </c>
      <c r="D35" s="96">
        <v>529.92999999999995</v>
      </c>
      <c r="E35" s="90">
        <v>70</v>
      </c>
      <c r="F35" s="91" t="s">
        <v>60</v>
      </c>
      <c r="G35" s="92">
        <f>1684994/1747000</f>
        <v>0.96450715512306817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13</v>
      </c>
      <c r="D37" s="106">
        <v>469.64</v>
      </c>
      <c r="E37" s="97">
        <v>55</v>
      </c>
      <c r="F37" s="91" t="s">
        <v>61</v>
      </c>
      <c r="G37" s="92">
        <f>C41/C35</f>
        <v>0.37272727272727274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30</v>
      </c>
      <c r="D39" s="96">
        <v>538.19000000000005</v>
      </c>
      <c r="E39" s="107">
        <v>74</v>
      </c>
      <c r="F39" s="91" t="s">
        <v>62</v>
      </c>
      <c r="G39" s="92">
        <f>C43/C35</f>
        <v>2.7272727272727271E-2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41</v>
      </c>
      <c r="D41" s="106">
        <v>483.89</v>
      </c>
      <c r="E41" s="107">
        <v>82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3</v>
      </c>
      <c r="D43" s="110">
        <v>515.09</v>
      </c>
      <c r="E43" s="111">
        <v>71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124</v>
      </c>
      <c r="D45" s="96">
        <v>619.34</v>
      </c>
      <c r="E45" s="90">
        <v>95</v>
      </c>
      <c r="F45" s="91" t="s">
        <v>60</v>
      </c>
      <c r="G45" s="92">
        <v>0.91100000000000003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19</v>
      </c>
      <c r="D47" s="106">
        <v>606.25</v>
      </c>
      <c r="E47" s="97">
        <v>98</v>
      </c>
      <c r="F47" s="91" t="s">
        <v>61</v>
      </c>
      <c r="G47" s="92">
        <f>C51/C45</f>
        <v>0.31451612903225806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25</v>
      </c>
      <c r="D49" s="96">
        <v>620.1</v>
      </c>
      <c r="E49" s="107">
        <v>118</v>
      </c>
      <c r="F49" s="91" t="s">
        <v>62</v>
      </c>
      <c r="G49" s="92">
        <f>C53/C45</f>
        <v>1.6129032258064516E-2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39</v>
      </c>
      <c r="D51" s="106">
        <v>553.70000000000005</v>
      </c>
      <c r="E51" s="107">
        <v>110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515.24</v>
      </c>
      <c r="E53" s="111">
        <v>76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170</v>
      </c>
      <c r="D55" s="89">
        <v>876.76</v>
      </c>
      <c r="E55" s="123">
        <v>181</v>
      </c>
      <c r="F55" s="91" t="s">
        <v>60</v>
      </c>
      <c r="G55" s="164">
        <v>0.89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8</v>
      </c>
      <c r="D57" s="96">
        <v>734.49</v>
      </c>
      <c r="E57" s="133">
        <v>181</v>
      </c>
      <c r="F57" s="91" t="s">
        <v>61</v>
      </c>
      <c r="G57" s="92">
        <f>C61/C55</f>
        <v>0.11176470588235295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28</v>
      </c>
      <c r="D59" s="106">
        <v>825.42</v>
      </c>
      <c r="E59" s="107">
        <v>108</v>
      </c>
      <c r="F59" s="91" t="s">
        <v>62</v>
      </c>
      <c r="G59" s="92">
        <f>C63/C55</f>
        <v>5.8823529411764705E-2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19</v>
      </c>
      <c r="D61" s="106">
        <v>697.91</v>
      </c>
      <c r="E61" s="107">
        <v>114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10</v>
      </c>
      <c r="D63" s="110">
        <v>781.13</v>
      </c>
      <c r="E63" s="111">
        <v>201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207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8EB24-F229-4EB1-AC60-C58149BE0CFA}">
  <dimension ref="A1:M65"/>
  <sheetViews>
    <sheetView view="pageBreakPreview" zoomScaleNormal="100" zoomScaleSheetLayoutView="100" workbookViewId="0">
      <selection activeCell="J36" sqref="J36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203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829</v>
      </c>
      <c r="D5" s="89">
        <v>555.26</v>
      </c>
      <c r="E5" s="90">
        <v>100</v>
      </c>
      <c r="F5" s="91" t="s">
        <v>60</v>
      </c>
      <c r="G5" s="92">
        <f>1346060/1387868</f>
        <v>0.96987609772687311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146</v>
      </c>
      <c r="D7" s="167">
        <v>471.79</v>
      </c>
      <c r="E7" s="97">
        <v>86</v>
      </c>
      <c r="F7" s="91" t="s">
        <v>61</v>
      </c>
      <c r="G7" s="92">
        <f>C11/C5</f>
        <v>0.37756332931242459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222</v>
      </c>
      <c r="D9" s="169">
        <v>502.45</v>
      </c>
      <c r="E9" s="107">
        <v>81</v>
      </c>
      <c r="F9" s="91" t="s">
        <v>62</v>
      </c>
      <c r="G9" s="92">
        <f>C13/C5</f>
        <v>4.3425814234016889E-2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313</v>
      </c>
      <c r="D11" s="169">
        <v>442.3</v>
      </c>
      <c r="E11" s="107">
        <v>79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36</v>
      </c>
      <c r="D13" s="170">
        <v>604.04999999999995</v>
      </c>
      <c r="E13" s="111">
        <v>153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308</v>
      </c>
      <c r="D15" s="89">
        <v>398.67</v>
      </c>
      <c r="E15" s="90">
        <v>81</v>
      </c>
      <c r="F15" s="91" t="s">
        <v>60</v>
      </c>
      <c r="G15" s="92">
        <f>740779/750186</f>
        <v>0.98746044314343373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69</v>
      </c>
      <c r="D17" s="96">
        <v>395.89</v>
      </c>
      <c r="E17" s="97">
        <v>49</v>
      </c>
      <c r="F17" s="91" t="s">
        <v>61</v>
      </c>
      <c r="G17" s="92">
        <f>C21/C15</f>
        <v>0.51948051948051943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79</v>
      </c>
      <c r="D19" s="106">
        <v>380.07</v>
      </c>
      <c r="E19" s="107">
        <v>58</v>
      </c>
      <c r="F19" s="91" t="s">
        <v>62</v>
      </c>
      <c r="G19" s="92">
        <f>C23/C15</f>
        <v>3.2467532467532464E-2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160</v>
      </c>
      <c r="D21" s="106">
        <v>381.15</v>
      </c>
      <c r="E21" s="107">
        <v>73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10</v>
      </c>
      <c r="D23" s="110">
        <v>449.5</v>
      </c>
      <c r="E23" s="111">
        <v>139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134</v>
      </c>
      <c r="D25" s="96">
        <v>456.88</v>
      </c>
      <c r="E25" s="90">
        <v>76</v>
      </c>
      <c r="F25" s="91" t="s">
        <v>60</v>
      </c>
      <c r="G25" s="92">
        <f>1177194/1217498</f>
        <v>0.96689604418241348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34</v>
      </c>
      <c r="D27" s="106">
        <v>446.63</v>
      </c>
      <c r="E27" s="97">
        <v>109</v>
      </c>
      <c r="F27" s="91" t="s">
        <v>61</v>
      </c>
      <c r="G27" s="92">
        <f>C31/C25</f>
        <v>0.52238805970149249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43</v>
      </c>
      <c r="D29" s="96">
        <v>462.97</v>
      </c>
      <c r="E29" s="107">
        <v>61</v>
      </c>
      <c r="F29" s="91" t="s">
        <v>62</v>
      </c>
      <c r="G29" s="92">
        <f>C33/C25</f>
        <v>8.2089552238805971E-2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70</v>
      </c>
      <c r="D31" s="106">
        <v>428.54</v>
      </c>
      <c r="E31" s="107">
        <v>74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11</v>
      </c>
      <c r="D33" s="110">
        <v>480.97</v>
      </c>
      <c r="E33" s="111">
        <v>120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99</v>
      </c>
      <c r="D35" s="96">
        <v>523.11</v>
      </c>
      <c r="E35" s="90">
        <v>65</v>
      </c>
      <c r="F35" s="91" t="s">
        <v>60</v>
      </c>
      <c r="G35" s="92">
        <f>1710427/1751618</f>
        <v>0.97648402791019506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16</v>
      </c>
      <c r="D37" s="106">
        <v>489.36</v>
      </c>
      <c r="E37" s="97">
        <v>91</v>
      </c>
      <c r="F37" s="91" t="s">
        <v>61</v>
      </c>
      <c r="G37" s="92">
        <f>C41/C35</f>
        <v>0.34343434343434343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41</v>
      </c>
      <c r="D39" s="96">
        <v>531.75</v>
      </c>
      <c r="E39" s="107">
        <v>75</v>
      </c>
      <c r="F39" s="91" t="s">
        <v>62</v>
      </c>
      <c r="G39" s="92">
        <f>C43/C35</f>
        <v>1.0101010101010102E-2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34</v>
      </c>
      <c r="D41" s="106">
        <v>463.01</v>
      </c>
      <c r="E41" s="107">
        <v>76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614.5</v>
      </c>
      <c r="E43" s="111">
        <v>42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122</v>
      </c>
      <c r="D45" s="89">
        <v>636.5</v>
      </c>
      <c r="E45" s="123">
        <v>92</v>
      </c>
      <c r="F45" s="91" t="s">
        <v>60</v>
      </c>
      <c r="G45" s="92">
        <f>2372652/2487833</f>
        <v>0.95370227824777631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15</v>
      </c>
      <c r="D47" s="96">
        <v>579.6</v>
      </c>
      <c r="E47" s="133">
        <v>105</v>
      </c>
      <c r="F47" s="91" t="s">
        <v>61</v>
      </c>
      <c r="G47" s="92">
        <f>C51/C45</f>
        <v>0.19672131147540983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38</v>
      </c>
      <c r="D49" s="106">
        <v>612.91999999999996</v>
      </c>
      <c r="E49" s="107">
        <v>118</v>
      </c>
      <c r="F49" s="91" t="s">
        <v>62</v>
      </c>
      <c r="G49" s="92">
        <f>C53/C45</f>
        <v>4.9180327868852458E-2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24</v>
      </c>
      <c r="D51" s="106">
        <v>534.82000000000005</v>
      </c>
      <c r="E51" s="107">
        <v>113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690.84</v>
      </c>
      <c r="E53" s="111">
        <v>170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166</v>
      </c>
      <c r="D55" s="89">
        <v>884.7</v>
      </c>
      <c r="E55" s="123">
        <v>180</v>
      </c>
      <c r="F55" s="91" t="s">
        <v>60</v>
      </c>
      <c r="G55" s="164">
        <f>4211616/4395400</f>
        <v>0.95818719570460031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11</v>
      </c>
      <c r="D57" s="96">
        <v>776.03</v>
      </c>
      <c r="E57" s="133">
        <v>215</v>
      </c>
      <c r="F57" s="91" t="s">
        <v>61</v>
      </c>
      <c r="G57" s="92">
        <f>C61/C55</f>
        <v>0.15060240963855423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21</v>
      </c>
      <c r="D59" s="157">
        <v>786.59</v>
      </c>
      <c r="E59" s="133">
        <v>151</v>
      </c>
      <c r="F59" s="91" t="s">
        <v>62</v>
      </c>
      <c r="G59" s="92">
        <f>C63/C55</f>
        <v>4.8192771084337352E-2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25</v>
      </c>
      <c r="D61" s="157">
        <v>755.27</v>
      </c>
      <c r="E61" s="142">
        <v>109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8</v>
      </c>
      <c r="D63" s="110">
        <v>900.09</v>
      </c>
      <c r="E63" s="163">
        <v>215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204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F570A-8CC7-4E40-841C-A70E82947D08}">
  <dimension ref="A1:M65"/>
  <sheetViews>
    <sheetView view="pageBreakPreview" zoomScaleNormal="100" zoomScaleSheetLayoutView="100" workbookViewId="0">
      <selection activeCell="D10" sqref="D10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201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823</v>
      </c>
      <c r="D5" s="89">
        <v>560.89</v>
      </c>
      <c r="E5" s="90">
        <v>106</v>
      </c>
      <c r="F5" s="91" t="s">
        <v>60</v>
      </c>
      <c r="G5" s="92">
        <f>1503628/1550652</f>
        <v>0.96967469167808118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176</v>
      </c>
      <c r="D7" s="167">
        <v>461.35</v>
      </c>
      <c r="E7" s="97">
        <v>88</v>
      </c>
      <c r="F7" s="91" t="s">
        <v>61</v>
      </c>
      <c r="G7" s="92">
        <f>C11/C5</f>
        <v>0.53705953827460506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230</v>
      </c>
      <c r="D9" s="169">
        <v>498.52</v>
      </c>
      <c r="E9" s="107">
        <v>81</v>
      </c>
      <c r="F9" s="91" t="s">
        <v>62</v>
      </c>
      <c r="G9" s="92">
        <f>C13/C5</f>
        <v>5.3462940461725394E-2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442</v>
      </c>
      <c r="D11" s="169">
        <v>458.36</v>
      </c>
      <c r="E11" s="107">
        <v>73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44</v>
      </c>
      <c r="D13" s="170">
        <v>671.77</v>
      </c>
      <c r="E13" s="111">
        <v>135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276</v>
      </c>
      <c r="D15" s="89">
        <v>403.97</v>
      </c>
      <c r="E15" s="90">
        <v>91</v>
      </c>
      <c r="F15" s="91" t="s">
        <v>60</v>
      </c>
      <c r="G15" s="92">
        <f>743578/758688</f>
        <v>0.98008403981610359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78</v>
      </c>
      <c r="D17" s="96">
        <v>384.95</v>
      </c>
      <c r="E17" s="97">
        <v>69</v>
      </c>
      <c r="F17" s="91" t="s">
        <v>61</v>
      </c>
      <c r="G17" s="92">
        <f>C21/C15</f>
        <v>0.74637681159420288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95</v>
      </c>
      <c r="D19" s="106">
        <v>373.56</v>
      </c>
      <c r="E19" s="107">
        <v>76</v>
      </c>
      <c r="F19" s="91" t="s">
        <v>62</v>
      </c>
      <c r="G19" s="92">
        <f>C23/C15</f>
        <v>3.6231884057971016E-2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206</v>
      </c>
      <c r="D21" s="106">
        <v>379.66</v>
      </c>
      <c r="E21" s="107">
        <v>64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10</v>
      </c>
      <c r="D23" s="110">
        <v>402.38</v>
      </c>
      <c r="E23" s="111">
        <v>119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144</v>
      </c>
      <c r="D25" s="96">
        <v>455.43</v>
      </c>
      <c r="E25" s="90">
        <v>77</v>
      </c>
      <c r="F25" s="91" t="s">
        <v>60</v>
      </c>
      <c r="G25" s="92">
        <f>1205630/1248797</f>
        <v>0.96543313284705201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44</v>
      </c>
      <c r="D27" s="106">
        <v>436.13</v>
      </c>
      <c r="E27" s="97">
        <v>93</v>
      </c>
      <c r="F27" s="91" t="s">
        <v>61</v>
      </c>
      <c r="G27" s="92">
        <f>C31/C25</f>
        <v>0.65972222222222221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43</v>
      </c>
      <c r="D29" s="96">
        <v>456</v>
      </c>
      <c r="E29" s="107">
        <v>44</v>
      </c>
      <c r="F29" s="91" t="s">
        <v>62</v>
      </c>
      <c r="G29" s="92">
        <f>C33/C25</f>
        <v>4.1666666666666664E-2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95</v>
      </c>
      <c r="D31" s="106">
        <v>425.97</v>
      </c>
      <c r="E31" s="107">
        <v>69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6</v>
      </c>
      <c r="D33" s="110">
        <v>445.35</v>
      </c>
      <c r="E33" s="111">
        <v>70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99</v>
      </c>
      <c r="D35" s="96">
        <v>521.62</v>
      </c>
      <c r="E35" s="90">
        <v>70</v>
      </c>
      <c r="F35" s="91" t="s">
        <v>60</v>
      </c>
      <c r="G35" s="92">
        <f>1671866/1732609</f>
        <v>0.96494131105171455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17</v>
      </c>
      <c r="D37" s="106">
        <v>476.4</v>
      </c>
      <c r="E37" s="97">
        <v>63</v>
      </c>
      <c r="F37" s="91" t="s">
        <v>61</v>
      </c>
      <c r="G37" s="92">
        <f>C41/C35</f>
        <v>0.51515151515151514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34</v>
      </c>
      <c r="D39" s="96">
        <v>545.42999999999995</v>
      </c>
      <c r="E39" s="107">
        <v>70</v>
      </c>
      <c r="F39" s="91" t="s">
        <v>62</v>
      </c>
      <c r="G39" s="92">
        <f>C43/C35</f>
        <v>5.0505050505050504E-2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51</v>
      </c>
      <c r="D41" s="106">
        <v>482.98</v>
      </c>
      <c r="E41" s="107">
        <v>78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527.82000000000005</v>
      </c>
      <c r="E43" s="111">
        <v>175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123</v>
      </c>
      <c r="D45" s="89">
        <v>624.29</v>
      </c>
      <c r="E45" s="123">
        <v>103</v>
      </c>
      <c r="F45" s="91" t="s">
        <v>60</v>
      </c>
      <c r="G45" s="92">
        <f>2402457/2491996</f>
        <v>0.96406936447731051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21</v>
      </c>
      <c r="D47" s="96">
        <v>555.33000000000004</v>
      </c>
      <c r="E47" s="133">
        <v>133</v>
      </c>
      <c r="F47" s="91" t="s">
        <v>61</v>
      </c>
      <c r="G47" s="92">
        <f>C51/C45</f>
        <v>0.37398373983739835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29</v>
      </c>
      <c r="D49" s="106">
        <v>607.75</v>
      </c>
      <c r="E49" s="107">
        <v>115</v>
      </c>
      <c r="F49" s="91" t="s">
        <v>62</v>
      </c>
      <c r="G49" s="92">
        <f>C53/C45</f>
        <v>4.878048780487805E-2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46</v>
      </c>
      <c r="D51" s="106">
        <v>551.73</v>
      </c>
      <c r="E51" s="107">
        <v>101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662.99</v>
      </c>
      <c r="E53" s="111">
        <v>114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181</v>
      </c>
      <c r="D55" s="89">
        <v>862.46</v>
      </c>
      <c r="E55" s="123">
        <v>175</v>
      </c>
      <c r="F55" s="91" t="s">
        <v>60</v>
      </c>
      <c r="G55" s="164">
        <f>4570762/4715180</f>
        <v>0.96937168888568415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16</v>
      </c>
      <c r="D57" s="96">
        <v>763.76</v>
      </c>
      <c r="E57" s="133">
        <v>132</v>
      </c>
      <c r="F57" s="91" t="s">
        <v>61</v>
      </c>
      <c r="G57" s="92">
        <f>C61/C55</f>
        <v>0.24309392265193369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29</v>
      </c>
      <c r="D59" s="157">
        <v>806.69</v>
      </c>
      <c r="E59" s="133">
        <v>136</v>
      </c>
      <c r="F59" s="91" t="s">
        <v>62</v>
      </c>
      <c r="G59" s="92">
        <f>C63/C55</f>
        <v>9.3922651933701654E-2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44</v>
      </c>
      <c r="D61" s="157">
        <v>770.58</v>
      </c>
      <c r="E61" s="142">
        <v>94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17</v>
      </c>
      <c r="D63" s="110">
        <v>955.58</v>
      </c>
      <c r="E63" s="163">
        <v>163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200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A795-F250-48F2-8540-B380D10EB5CF}">
  <dimension ref="A1:M65"/>
  <sheetViews>
    <sheetView view="pageBreakPreview" zoomScaleNormal="100" zoomScaleSheetLayoutView="100" workbookViewId="0">
      <selection activeCell="K20" sqref="K19:K20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197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911</v>
      </c>
      <c r="D5" s="89">
        <v>557.03</v>
      </c>
      <c r="E5" s="90">
        <v>106</v>
      </c>
      <c r="F5" s="91" t="s">
        <v>60</v>
      </c>
      <c r="G5" s="92">
        <f>1449997/1512700</f>
        <v>0.95854895220466718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203</v>
      </c>
      <c r="D7" s="167">
        <v>470.58</v>
      </c>
      <c r="E7" s="97">
        <v>88</v>
      </c>
      <c r="F7" s="91" t="s">
        <v>61</v>
      </c>
      <c r="G7" s="92">
        <f>C11/C5</f>
        <v>0.49835345773874862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284</v>
      </c>
      <c r="D9" s="169">
        <v>505.06</v>
      </c>
      <c r="E9" s="107">
        <v>72</v>
      </c>
      <c r="F9" s="91" t="s">
        <v>62</v>
      </c>
      <c r="G9" s="92">
        <f>C13/C5</f>
        <v>4.0614709110867182E-2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454</v>
      </c>
      <c r="D11" s="169">
        <v>457.99</v>
      </c>
      <c r="E11" s="107">
        <v>71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37</v>
      </c>
      <c r="D13" s="170">
        <v>590.16999999999996</v>
      </c>
      <c r="E13" s="111">
        <v>154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287</v>
      </c>
      <c r="D15" s="89">
        <v>401.98</v>
      </c>
      <c r="E15" s="90">
        <v>98</v>
      </c>
      <c r="F15" s="91" t="s">
        <v>60</v>
      </c>
      <c r="G15" s="92">
        <f>752755/765042</f>
        <v>0.9839394438475273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92</v>
      </c>
      <c r="D17" s="96">
        <v>397.1</v>
      </c>
      <c r="E17" s="97">
        <v>69</v>
      </c>
      <c r="F17" s="91" t="s">
        <v>61</v>
      </c>
      <c r="G17" s="92">
        <f>C21/C15</f>
        <v>0.69686411149825789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116</v>
      </c>
      <c r="D19" s="106">
        <v>380.65</v>
      </c>
      <c r="E19" s="107">
        <v>59</v>
      </c>
      <c r="F19" s="91" t="s">
        <v>62</v>
      </c>
      <c r="G19" s="92">
        <f>C23/C15</f>
        <v>2.4390243902439025E-2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200</v>
      </c>
      <c r="D21" s="106">
        <v>391.51</v>
      </c>
      <c r="E21" s="107">
        <v>65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7</v>
      </c>
      <c r="D23" s="110">
        <v>422.42</v>
      </c>
      <c r="E23" s="111">
        <v>71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168</v>
      </c>
      <c r="D25" s="96">
        <v>444.29</v>
      </c>
      <c r="E25" s="90">
        <v>80</v>
      </c>
      <c r="F25" s="91" t="s">
        <v>60</v>
      </c>
      <c r="G25" s="92">
        <f>1180807/1233040</f>
        <v>0.95763884383312792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42</v>
      </c>
      <c r="D27" s="106">
        <v>434.78</v>
      </c>
      <c r="E27" s="97">
        <v>89</v>
      </c>
      <c r="F27" s="91" t="s">
        <v>61</v>
      </c>
      <c r="G27" s="92">
        <f>C31/C25</f>
        <v>0.6785714285714286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52</v>
      </c>
      <c r="D29" s="96">
        <v>433.48</v>
      </c>
      <c r="E29" s="107">
        <v>56</v>
      </c>
      <c r="F29" s="91" t="s">
        <v>62</v>
      </c>
      <c r="G29" s="92">
        <f>C33/C25</f>
        <v>5.3571428571428568E-2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114</v>
      </c>
      <c r="D31" s="106">
        <v>417.57</v>
      </c>
      <c r="E31" s="107">
        <v>71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9</v>
      </c>
      <c r="D33" s="110">
        <v>437.22</v>
      </c>
      <c r="E33" s="111">
        <v>104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112</v>
      </c>
      <c r="D35" s="96">
        <v>500.41</v>
      </c>
      <c r="E35" s="90">
        <v>80</v>
      </c>
      <c r="F35" s="91" t="s">
        <v>60</v>
      </c>
      <c r="G35" s="92">
        <f>1646214/1713654</f>
        <v>0.96064549786596365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21</v>
      </c>
      <c r="D37" s="106">
        <v>464.37</v>
      </c>
      <c r="E37" s="97">
        <v>80</v>
      </c>
      <c r="F37" s="91" t="s">
        <v>61</v>
      </c>
      <c r="G37" s="92">
        <f>C41/C35</f>
        <v>0.5089285714285714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39</v>
      </c>
      <c r="D39" s="96">
        <v>537.6</v>
      </c>
      <c r="E39" s="107">
        <v>72</v>
      </c>
      <c r="F39" s="91" t="s">
        <v>62</v>
      </c>
      <c r="G39" s="92">
        <f>C43/C35</f>
        <v>4.4642857142857144E-2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57</v>
      </c>
      <c r="D41" s="106">
        <v>476.11</v>
      </c>
      <c r="E41" s="107">
        <v>79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461.51</v>
      </c>
      <c r="E43" s="111">
        <v>152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143</v>
      </c>
      <c r="D45" s="89">
        <v>607.41</v>
      </c>
      <c r="E45" s="123">
        <v>99</v>
      </c>
      <c r="F45" s="91" t="s">
        <v>60</v>
      </c>
      <c r="G45" s="92">
        <f>2312631/2423298</f>
        <v>0.95433207141672216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24</v>
      </c>
      <c r="D47" s="96">
        <v>577.05999999999995</v>
      </c>
      <c r="E47" s="133">
        <v>94</v>
      </c>
      <c r="F47" s="91" t="s">
        <v>61</v>
      </c>
      <c r="G47" s="92">
        <f>C51/C45</f>
        <v>0.30069930069930068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36</v>
      </c>
      <c r="D49" s="106">
        <v>604.76</v>
      </c>
      <c r="E49" s="107">
        <v>100</v>
      </c>
      <c r="F49" s="91" t="s">
        <v>62</v>
      </c>
      <c r="G49" s="92">
        <f>C53/C45</f>
        <v>4.195804195804196E-2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43</v>
      </c>
      <c r="D51" s="106">
        <v>545.88</v>
      </c>
      <c r="E51" s="107">
        <v>75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561.26</v>
      </c>
      <c r="E53" s="111">
        <v>137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201</v>
      </c>
      <c r="D55" s="89">
        <v>868.36</v>
      </c>
      <c r="E55" s="123">
        <v>159</v>
      </c>
      <c r="F55" s="91" t="s">
        <v>60</v>
      </c>
      <c r="G55" s="164">
        <f>4496460/4782623</f>
        <v>0.94016609713958221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24</v>
      </c>
      <c r="D57" s="96">
        <v>713.82</v>
      </c>
      <c r="E57" s="133">
        <v>164</v>
      </c>
      <c r="F57" s="91" t="s">
        <v>61</v>
      </c>
      <c r="G57" s="92">
        <f>C61/C55</f>
        <v>0.19900497512437812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41</v>
      </c>
      <c r="D59" s="157">
        <v>829.38</v>
      </c>
      <c r="E59" s="133">
        <v>105</v>
      </c>
      <c r="F59" s="91" t="s">
        <v>62</v>
      </c>
      <c r="G59" s="92">
        <f>C63/C55</f>
        <v>4.975124378109453E-2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40</v>
      </c>
      <c r="D61" s="157">
        <v>785.27</v>
      </c>
      <c r="E61" s="142">
        <v>84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10</v>
      </c>
      <c r="D63" s="110">
        <v>926.92</v>
      </c>
      <c r="E63" s="163">
        <v>270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198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21F13-2B5B-4217-B8C4-8C0CB0E2BAC5}">
  <dimension ref="A1:M65"/>
  <sheetViews>
    <sheetView view="pageBreakPreview" zoomScaleNormal="100" zoomScaleSheetLayoutView="100" workbookViewId="0">
      <selection activeCell="I11" sqref="I11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194</v>
      </c>
      <c r="B1" s="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979</v>
      </c>
      <c r="D5" s="89">
        <v>554.61</v>
      </c>
      <c r="E5" s="90">
        <v>103</v>
      </c>
      <c r="F5" s="91" t="s">
        <v>60</v>
      </c>
      <c r="G5" s="92">
        <f>1398078/1458787</f>
        <v>0.95838391759729147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235</v>
      </c>
      <c r="D7" s="167">
        <v>501.41</v>
      </c>
      <c r="E7" s="97">
        <v>91</v>
      </c>
      <c r="F7" s="91" t="s">
        <v>61</v>
      </c>
      <c r="G7" s="92">
        <f>C11/C5</f>
        <v>0.3258426966292135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303</v>
      </c>
      <c r="D9" s="169">
        <v>487.11</v>
      </c>
      <c r="E9" s="107">
        <v>67</v>
      </c>
      <c r="F9" s="91" t="s">
        <v>62</v>
      </c>
      <c r="G9" s="92">
        <f>C13/C5</f>
        <v>3.268641470888662E-2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319</v>
      </c>
      <c r="D11" s="169">
        <v>446.2</v>
      </c>
      <c r="E11" s="107">
        <v>76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32</v>
      </c>
      <c r="D13" s="170">
        <v>468.73</v>
      </c>
      <c r="E13" s="111">
        <v>153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311</v>
      </c>
      <c r="D15" s="89">
        <v>404.01</v>
      </c>
      <c r="E15" s="90">
        <v>99</v>
      </c>
      <c r="F15" s="91" t="s">
        <v>60</v>
      </c>
      <c r="G15" s="92">
        <f>758146/774447</f>
        <v>0.97895143244147109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80</v>
      </c>
      <c r="D17" s="96">
        <v>423.71</v>
      </c>
      <c r="E17" s="97">
        <v>67</v>
      </c>
      <c r="F17" s="91" t="s">
        <v>61</v>
      </c>
      <c r="G17" s="92">
        <f>C21/C15</f>
        <v>0.49196141479099681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126</v>
      </c>
      <c r="D19" s="106">
        <v>379.63</v>
      </c>
      <c r="E19" s="107">
        <v>61</v>
      </c>
      <c r="F19" s="91" t="s">
        <v>62</v>
      </c>
      <c r="G19" s="92">
        <f>C23/C15</f>
        <v>4.1800643086816719E-2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153</v>
      </c>
      <c r="D21" s="106">
        <v>376.81</v>
      </c>
      <c r="E21" s="107">
        <v>68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13</v>
      </c>
      <c r="D23" s="110">
        <v>372.62</v>
      </c>
      <c r="E23" s="111">
        <v>158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189</v>
      </c>
      <c r="D25" s="96">
        <v>451.56</v>
      </c>
      <c r="E25" s="90">
        <v>72</v>
      </c>
      <c r="F25" s="91" t="s">
        <v>60</v>
      </c>
      <c r="G25" s="92">
        <f>1213356/1260931</f>
        <v>0.96226994181283509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61</v>
      </c>
      <c r="D27" s="106">
        <v>436.07</v>
      </c>
      <c r="E27" s="97">
        <v>98</v>
      </c>
      <c r="F27" s="91" t="s">
        <v>61</v>
      </c>
      <c r="G27" s="92">
        <f>C31/C25</f>
        <v>0.36507936507936506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64</v>
      </c>
      <c r="D29" s="96">
        <v>433.55</v>
      </c>
      <c r="E29" s="107">
        <v>551</v>
      </c>
      <c r="F29" s="91" t="s">
        <v>62</v>
      </c>
      <c r="G29" s="92">
        <f>C33/C25</f>
        <v>3.1746031746031744E-2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69</v>
      </c>
      <c r="D31" s="106">
        <v>435.85</v>
      </c>
      <c r="E31" s="107">
        <v>66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6</v>
      </c>
      <c r="D33" s="110">
        <v>398.79</v>
      </c>
      <c r="E33" s="111">
        <v>140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114</v>
      </c>
      <c r="D35" s="96">
        <v>508.34</v>
      </c>
      <c r="E35" s="90">
        <v>83</v>
      </c>
      <c r="F35" s="91" t="s">
        <v>60</v>
      </c>
      <c r="G35" s="92">
        <f>1668239/1714720</f>
        <v>0.97289295045255197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36</v>
      </c>
      <c r="D37" s="106">
        <v>483.17</v>
      </c>
      <c r="E37" s="97">
        <v>101</v>
      </c>
      <c r="F37" s="91" t="s">
        <v>61</v>
      </c>
      <c r="G37" s="92">
        <f>C41/C35</f>
        <v>0.40350877192982454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41</v>
      </c>
      <c r="D39" s="96">
        <v>529.30999999999995</v>
      </c>
      <c r="E39" s="107">
        <v>54</v>
      </c>
      <c r="F39" s="91" t="s">
        <v>62</v>
      </c>
      <c r="G39" s="92">
        <f>C43/C35</f>
        <v>4.3859649122807015E-2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46</v>
      </c>
      <c r="D41" s="106">
        <v>470.45</v>
      </c>
      <c r="E41" s="107">
        <v>84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474.07</v>
      </c>
      <c r="E43" s="111">
        <v>51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151</v>
      </c>
      <c r="D45" s="89">
        <v>565.55999999999995</v>
      </c>
      <c r="E45" s="123">
        <v>88</v>
      </c>
      <c r="F45" s="91" t="s">
        <v>60</v>
      </c>
      <c r="G45" s="92">
        <f>2380671/2510112</f>
        <v>0.94843218151221942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29</v>
      </c>
      <c r="D47" s="96">
        <v>580.28</v>
      </c>
      <c r="E47" s="133">
        <v>90</v>
      </c>
      <c r="F47" s="91" t="s">
        <v>61</v>
      </c>
      <c r="G47" s="92">
        <f>C51/C45</f>
        <v>0.20529801324503311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39</v>
      </c>
      <c r="D49" s="106">
        <v>599.91</v>
      </c>
      <c r="E49" s="107">
        <v>91</v>
      </c>
      <c r="F49" s="91" t="s">
        <v>62</v>
      </c>
      <c r="G49" s="92">
        <f>C53/C45</f>
        <v>3.3112582781456956E-2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31</v>
      </c>
      <c r="D51" s="106">
        <v>548.14</v>
      </c>
      <c r="E51" s="107">
        <v>98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623.72</v>
      </c>
      <c r="E53" s="111">
        <v>198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214</v>
      </c>
      <c r="D55" s="89">
        <v>867.27</v>
      </c>
      <c r="E55" s="123">
        <v>158</v>
      </c>
      <c r="F55" s="91" t="s">
        <v>60</v>
      </c>
      <c r="G55" s="164">
        <f>4786465/5158389</f>
        <v>0.92789919488429429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29</v>
      </c>
      <c r="D57" s="96">
        <v>796.99</v>
      </c>
      <c r="E57" s="133">
        <v>133</v>
      </c>
      <c r="F57" s="91" t="s">
        <v>61</v>
      </c>
      <c r="G57" s="92">
        <f>C61/C55</f>
        <v>9.3457943925233641E-2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33</v>
      </c>
      <c r="D59" s="157">
        <v>815.66</v>
      </c>
      <c r="E59" s="133">
        <v>104</v>
      </c>
      <c r="F59" s="91" t="s">
        <v>62</v>
      </c>
      <c r="G59" s="92">
        <f>C63/C55</f>
        <v>1.4018691588785047E-2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20</v>
      </c>
      <c r="D61" s="157">
        <v>799.05</v>
      </c>
      <c r="E61" s="142">
        <v>107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757.88</v>
      </c>
      <c r="E63" s="163">
        <v>251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195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7A17A-E68A-460D-BACF-EACA17FFEBB5}">
  <dimension ref="A1:M65"/>
  <sheetViews>
    <sheetView view="pageBreakPreview" zoomScaleNormal="100" zoomScaleSheetLayoutView="100" workbookViewId="0">
      <selection activeCell="F53" sqref="F5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192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1057</v>
      </c>
      <c r="D5" s="89">
        <v>543.57000000000005</v>
      </c>
      <c r="E5" s="90">
        <v>99</v>
      </c>
      <c r="F5" s="91" t="s">
        <v>60</v>
      </c>
      <c r="G5" s="92">
        <f>1354357/1412183</f>
        <v>0.95905204920325482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193</v>
      </c>
      <c r="D7" s="167">
        <v>506.28</v>
      </c>
      <c r="E7" s="97">
        <v>93</v>
      </c>
      <c r="F7" s="91" t="s">
        <v>61</v>
      </c>
      <c r="G7" s="92">
        <f>C11/C5</f>
        <v>0.39451277199621571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262</v>
      </c>
      <c r="D9" s="169">
        <v>489.41</v>
      </c>
      <c r="E9" s="107">
        <v>66</v>
      </c>
      <c r="F9" s="91" t="s">
        <v>62</v>
      </c>
      <c r="G9" s="92">
        <f>C13/C5</f>
        <v>2.8382213812677391E-2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417</v>
      </c>
      <c r="D11" s="169">
        <v>436.64</v>
      </c>
      <c r="E11" s="107">
        <v>78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30</v>
      </c>
      <c r="D13" s="170">
        <v>508.74</v>
      </c>
      <c r="E13" s="111">
        <v>125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348</v>
      </c>
      <c r="D15" s="89">
        <v>394.02</v>
      </c>
      <c r="E15" s="90">
        <v>95</v>
      </c>
      <c r="F15" s="91" t="s">
        <v>60</v>
      </c>
      <c r="G15" s="92">
        <f>745037/766498</f>
        <v>0.97200123157529439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73</v>
      </c>
      <c r="D17" s="96">
        <v>427.33</v>
      </c>
      <c r="E17" s="97">
        <v>62</v>
      </c>
      <c r="F17" s="91" t="s">
        <v>61</v>
      </c>
      <c r="G17" s="92">
        <f>C21/C15</f>
        <v>0.58333333333333337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108</v>
      </c>
      <c r="D19" s="106">
        <v>376.85</v>
      </c>
      <c r="E19" s="107">
        <v>58</v>
      </c>
      <c r="F19" s="91" t="s">
        <v>62</v>
      </c>
      <c r="G19" s="92">
        <f>C23/C15</f>
        <v>3.1609195402298854E-2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203</v>
      </c>
      <c r="D21" s="106">
        <v>371</v>
      </c>
      <c r="E21" s="107">
        <v>78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11</v>
      </c>
      <c r="D23" s="110">
        <v>413.31</v>
      </c>
      <c r="E23" s="111">
        <v>98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209</v>
      </c>
      <c r="D25" s="96">
        <v>445.79</v>
      </c>
      <c r="E25" s="90">
        <v>76</v>
      </c>
      <c r="F25" s="91" t="s">
        <v>60</v>
      </c>
      <c r="G25" s="92">
        <f>1197878/1248686</f>
        <v>0.9593108275419121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40</v>
      </c>
      <c r="D27" s="106">
        <v>449.26</v>
      </c>
      <c r="E27" s="97">
        <v>96</v>
      </c>
      <c r="F27" s="91" t="s">
        <v>61</v>
      </c>
      <c r="G27" s="92">
        <f>C31/C25</f>
        <v>0.48325358851674644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58</v>
      </c>
      <c r="D29" s="96">
        <v>443.43</v>
      </c>
      <c r="E29" s="107">
        <v>52</v>
      </c>
      <c r="F29" s="91" t="s">
        <v>62</v>
      </c>
      <c r="G29" s="92">
        <f>C33/C25</f>
        <v>4.3062200956937802E-2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101</v>
      </c>
      <c r="D31" s="106">
        <v>428.31</v>
      </c>
      <c r="E31" s="107">
        <v>75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9</v>
      </c>
      <c r="D33" s="110">
        <v>506.06</v>
      </c>
      <c r="E33" s="111">
        <v>131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134</v>
      </c>
      <c r="D35" s="96">
        <v>511.32</v>
      </c>
      <c r="E35" s="90">
        <v>79</v>
      </c>
      <c r="F35" s="91" t="s">
        <v>60</v>
      </c>
      <c r="G35" s="92">
        <f>1626034/1689858</f>
        <v>0.96223114604895799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23</v>
      </c>
      <c r="D37" s="106">
        <v>454.81</v>
      </c>
      <c r="E37" s="97">
        <v>112</v>
      </c>
      <c r="F37" s="91" t="s">
        <v>61</v>
      </c>
      <c r="G37" s="92">
        <f>C41/C35</f>
        <v>0.32089552238805968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37</v>
      </c>
      <c r="D39" s="96">
        <v>522.11</v>
      </c>
      <c r="E39" s="107">
        <v>50</v>
      </c>
      <c r="F39" s="91" t="s">
        <v>62</v>
      </c>
      <c r="G39" s="92">
        <f>C43/C35</f>
        <v>1.4925373134328358E-2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43</v>
      </c>
      <c r="D41" s="106">
        <v>469.58</v>
      </c>
      <c r="E41" s="107">
        <v>76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547.79</v>
      </c>
      <c r="E43" s="111">
        <v>94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157</v>
      </c>
      <c r="D45" s="89">
        <v>587.24</v>
      </c>
      <c r="E45" s="123">
        <v>92</v>
      </c>
      <c r="F45" s="91" t="s">
        <v>60</v>
      </c>
      <c r="G45" s="92">
        <f>2310588/2447644</f>
        <v>0.94400492882134823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28</v>
      </c>
      <c r="D47" s="96">
        <v>576.32000000000005</v>
      </c>
      <c r="E47" s="133">
        <v>96</v>
      </c>
      <c r="F47" s="91" t="s">
        <v>61</v>
      </c>
      <c r="G47" s="92">
        <f>C51/C45</f>
        <v>0.21656050955414013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30</v>
      </c>
      <c r="D49" s="106">
        <v>601.04999999999995</v>
      </c>
      <c r="E49" s="107">
        <v>96</v>
      </c>
      <c r="F49" s="91" t="s">
        <v>62</v>
      </c>
      <c r="G49" s="92">
        <f>C53/C45</f>
        <v>3.8216560509554139E-2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34</v>
      </c>
      <c r="D51" s="106">
        <v>545.82000000000005</v>
      </c>
      <c r="E51" s="107">
        <v>78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497.35</v>
      </c>
      <c r="E53" s="111">
        <v>147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209</v>
      </c>
      <c r="D55" s="89">
        <v>878.25</v>
      </c>
      <c r="E55" s="123">
        <v>147</v>
      </c>
      <c r="F55" s="91" t="s">
        <v>60</v>
      </c>
      <c r="G55" s="164">
        <f>4001641/4202230</f>
        <v>0.95226605873548087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29</v>
      </c>
      <c r="D57" s="96">
        <v>756.83</v>
      </c>
      <c r="E57" s="133">
        <v>151</v>
      </c>
      <c r="F57" s="91" t="s">
        <v>61</v>
      </c>
      <c r="G57" s="92">
        <f>C61/C55</f>
        <v>0.17224880382775121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29</v>
      </c>
      <c r="D59" s="157">
        <v>843.38</v>
      </c>
      <c r="E59" s="133">
        <v>113</v>
      </c>
      <c r="F59" s="91" t="s">
        <v>62</v>
      </c>
      <c r="G59" s="92">
        <f>C63/C55</f>
        <v>9.5693779904306216E-3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36</v>
      </c>
      <c r="D61" s="157">
        <v>687.72</v>
      </c>
      <c r="E61" s="142">
        <v>88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1040.82</v>
      </c>
      <c r="E63" s="163">
        <v>220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193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A8B45-A9A9-4664-954A-6B5F396F1C98}">
  <dimension ref="A1:M65"/>
  <sheetViews>
    <sheetView view="pageBreakPreview" zoomScaleNormal="100" zoomScaleSheetLayoutView="100" workbookViewId="0">
      <selection activeCell="J49" sqref="J4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190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1072</v>
      </c>
      <c r="D5" s="89">
        <v>548.23</v>
      </c>
      <c r="E5" s="90">
        <v>98</v>
      </c>
      <c r="F5" s="91" t="s">
        <v>60</v>
      </c>
      <c r="G5" s="92">
        <f>1448804/1508692</f>
        <v>0.96030468776927302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201</v>
      </c>
      <c r="D7" s="167">
        <v>468.7</v>
      </c>
      <c r="E7" s="97">
        <v>87</v>
      </c>
      <c r="F7" s="91" t="s">
        <v>61</v>
      </c>
      <c r="G7" s="92">
        <f>C11/C5</f>
        <v>0.25093283582089554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277</v>
      </c>
      <c r="D9" s="169">
        <v>481.65</v>
      </c>
      <c r="E9" s="107">
        <v>76</v>
      </c>
      <c r="F9" s="91" t="s">
        <v>62</v>
      </c>
      <c r="G9" s="92">
        <f>C13/C5</f>
        <v>2.6119402985074626E-2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269</v>
      </c>
      <c r="D11" s="169">
        <v>447.3</v>
      </c>
      <c r="E11" s="107">
        <v>89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28</v>
      </c>
      <c r="D13" s="170">
        <v>566.28</v>
      </c>
      <c r="E13" s="111">
        <v>138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349</v>
      </c>
      <c r="D15" s="89">
        <v>403.38</v>
      </c>
      <c r="E15" s="90">
        <v>90</v>
      </c>
      <c r="F15" s="91" t="s">
        <v>60</v>
      </c>
      <c r="G15" s="92">
        <f>721556/739096</f>
        <v>0.97626830614696869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92</v>
      </c>
      <c r="D17" s="96">
        <v>384.34</v>
      </c>
      <c r="E17" s="97">
        <v>78</v>
      </c>
      <c r="F17" s="91" t="s">
        <v>61</v>
      </c>
      <c r="G17" s="92">
        <f>C21/C15</f>
        <v>0.34097421203438394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106</v>
      </c>
      <c r="D19" s="106">
        <v>366.56</v>
      </c>
      <c r="E19" s="107">
        <v>71</v>
      </c>
      <c r="F19" s="91" t="s">
        <v>62</v>
      </c>
      <c r="G19" s="92">
        <f>C23/C15</f>
        <v>2.2922636103151862E-2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119</v>
      </c>
      <c r="D21" s="106">
        <v>366.43</v>
      </c>
      <c r="E21" s="107">
        <v>69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8</v>
      </c>
      <c r="D23" s="110">
        <v>366.71</v>
      </c>
      <c r="E23" s="111">
        <v>161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218</v>
      </c>
      <c r="D25" s="96">
        <v>438.64</v>
      </c>
      <c r="E25" s="90">
        <v>78</v>
      </c>
      <c r="F25" s="91" t="s">
        <v>60</v>
      </c>
      <c r="G25" s="92">
        <f>1203183/1245554</f>
        <v>0.96598220550855285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45</v>
      </c>
      <c r="D27" s="106">
        <v>456.79</v>
      </c>
      <c r="E27" s="97">
        <v>87</v>
      </c>
      <c r="F27" s="91" t="s">
        <v>61</v>
      </c>
      <c r="G27" s="92">
        <f>C31/C25</f>
        <v>0.3256880733944954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76</v>
      </c>
      <c r="D29" s="96">
        <v>442.05</v>
      </c>
      <c r="E29" s="107">
        <v>71</v>
      </c>
      <c r="F29" s="91" t="s">
        <v>62</v>
      </c>
      <c r="G29" s="92">
        <f>C33/C25</f>
        <v>3.669724770642202E-2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71</v>
      </c>
      <c r="D31" s="106">
        <v>416.93</v>
      </c>
      <c r="E31" s="107">
        <v>77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8</v>
      </c>
      <c r="D33" s="110">
        <v>467.91</v>
      </c>
      <c r="E33" s="111">
        <v>116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132</v>
      </c>
      <c r="D35" s="96">
        <v>504.93</v>
      </c>
      <c r="E35" s="90">
        <v>85</v>
      </c>
      <c r="F35" s="91" t="s">
        <v>60</v>
      </c>
      <c r="G35" s="92">
        <f>1703444/1781127</f>
        <v>0.95638547953065667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23</v>
      </c>
      <c r="D37" s="106">
        <v>461.38</v>
      </c>
      <c r="E37" s="97">
        <v>74</v>
      </c>
      <c r="F37" s="91" t="s">
        <v>61</v>
      </c>
      <c r="G37" s="92">
        <f>C41/C35</f>
        <v>0.20454545454545456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30</v>
      </c>
      <c r="D39" s="96">
        <v>524</v>
      </c>
      <c r="E39" s="107">
        <v>56</v>
      </c>
      <c r="F39" s="91" t="s">
        <v>62</v>
      </c>
      <c r="G39" s="92">
        <f>C43/C35</f>
        <v>1.5151515151515152E-2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27</v>
      </c>
      <c r="D41" s="106">
        <v>478.67</v>
      </c>
      <c r="E41" s="107">
        <v>80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440.91</v>
      </c>
      <c r="E43" s="111">
        <v>57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157</v>
      </c>
      <c r="D45" s="89">
        <v>594.26</v>
      </c>
      <c r="E45" s="123">
        <v>97</v>
      </c>
      <c r="F45" s="91" t="s">
        <v>60</v>
      </c>
      <c r="G45" s="92">
        <f>2430200/2543034</f>
        <v>0.95563016459866446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20</v>
      </c>
      <c r="D47" s="96">
        <v>595.72</v>
      </c>
      <c r="E47" s="133">
        <v>98</v>
      </c>
      <c r="F47" s="91" t="s">
        <v>61</v>
      </c>
      <c r="G47" s="92">
        <f>C51/C45</f>
        <v>0.18471337579617833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33</v>
      </c>
      <c r="D49" s="106">
        <v>604.91</v>
      </c>
      <c r="E49" s="107">
        <v>94</v>
      </c>
      <c r="F49" s="91" t="s">
        <v>62</v>
      </c>
      <c r="G49" s="92">
        <f>C53/C45</f>
        <v>1.9108280254777069E-2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29</v>
      </c>
      <c r="D51" s="106">
        <v>554.02</v>
      </c>
      <c r="E51" s="107">
        <v>86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3</v>
      </c>
      <c r="D53" s="110">
        <v>575.66</v>
      </c>
      <c r="E53" s="111">
        <v>125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216</v>
      </c>
      <c r="D55" s="89">
        <v>885.88</v>
      </c>
      <c r="E55" s="123"/>
      <c r="F55" s="91" t="s">
        <v>60</v>
      </c>
      <c r="G55" s="164">
        <f>4433407/4678822</f>
        <v>0.94754769469751143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21</v>
      </c>
      <c r="D57" s="96">
        <v>750.85</v>
      </c>
      <c r="E57" s="133"/>
      <c r="F57" s="91" t="s">
        <v>61</v>
      </c>
      <c r="G57" s="92">
        <f>C61/C55</f>
        <v>0.10648148148148148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32</v>
      </c>
      <c r="D59" s="157">
        <v>790.11</v>
      </c>
      <c r="E59" s="133"/>
      <c r="F59" s="91" t="s">
        <v>62</v>
      </c>
      <c r="G59" s="92">
        <f>C63/C55</f>
        <v>3.2407407407407406E-2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23</v>
      </c>
      <c r="D61" s="157">
        <v>788.01</v>
      </c>
      <c r="E61" s="142"/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7</v>
      </c>
      <c r="D63" s="110">
        <v>938.59</v>
      </c>
      <c r="E63" s="163"/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191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4C02-8BEA-4BBA-B16D-F79EE52D8B9A}">
  <dimension ref="A1:M65"/>
  <sheetViews>
    <sheetView view="pageBreakPreview" zoomScaleNormal="100" zoomScaleSheetLayoutView="100" workbookViewId="0">
      <selection activeCell="L57" sqref="L57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188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1097</v>
      </c>
      <c r="D5" s="89">
        <v>545.35</v>
      </c>
      <c r="E5" s="90">
        <v>97</v>
      </c>
      <c r="F5" s="91" t="s">
        <v>60</v>
      </c>
      <c r="G5" s="92">
        <f>1275259/1334008</f>
        <v>0.95596053396981129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161</v>
      </c>
      <c r="D7" s="167">
        <v>466.59</v>
      </c>
      <c r="E7" s="97">
        <v>94</v>
      </c>
      <c r="F7" s="91" t="s">
        <v>61</v>
      </c>
      <c r="G7" s="92">
        <f>C11/C5</f>
        <v>0.18778486782133091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210</v>
      </c>
      <c r="D9" s="169">
        <v>473.03</v>
      </c>
      <c r="E9" s="107">
        <v>79</v>
      </c>
      <c r="F9" s="91" t="s">
        <v>62</v>
      </c>
      <c r="G9" s="92">
        <f>C13/C5</f>
        <v>3.0993618960802188E-2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206</v>
      </c>
      <c r="D11" s="169">
        <v>434.61</v>
      </c>
      <c r="E11" s="107">
        <v>78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34</v>
      </c>
      <c r="D13" s="170">
        <v>503.4</v>
      </c>
      <c r="E13" s="111">
        <v>154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367</v>
      </c>
      <c r="D15" s="89">
        <v>392.42</v>
      </c>
      <c r="E15" s="90">
        <v>92</v>
      </c>
      <c r="F15" s="91" t="s">
        <v>60</v>
      </c>
      <c r="G15" s="92">
        <f>706806/729744</f>
        <v>0.96856705913306584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68</v>
      </c>
      <c r="D17" s="96">
        <v>379.39</v>
      </c>
      <c r="E17" s="97">
        <v>81</v>
      </c>
      <c r="F17" s="91" t="s">
        <v>61</v>
      </c>
      <c r="G17" s="92">
        <f>C21/C15</f>
        <v>0.29427792915531337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86</v>
      </c>
      <c r="D19" s="106">
        <v>352.74</v>
      </c>
      <c r="E19" s="107">
        <v>68</v>
      </c>
      <c r="F19" s="91" t="s">
        <v>62</v>
      </c>
      <c r="G19" s="92">
        <f>C23/C15</f>
        <v>4.0871934604904632E-2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108</v>
      </c>
      <c r="D21" s="106">
        <v>362.6</v>
      </c>
      <c r="E21" s="107">
        <v>75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15</v>
      </c>
      <c r="D23" s="110">
        <v>377.6</v>
      </c>
      <c r="E23" s="111">
        <v>122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255</v>
      </c>
      <c r="D25" s="96">
        <v>464.36</v>
      </c>
      <c r="E25" s="90">
        <v>76</v>
      </c>
      <c r="F25" s="91" t="s">
        <v>60</v>
      </c>
      <c r="G25" s="92">
        <f>1201925/1251066</f>
        <v>0.96072069738926646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41</v>
      </c>
      <c r="D27" s="106">
        <v>428.28</v>
      </c>
      <c r="E27" s="97">
        <v>98</v>
      </c>
      <c r="F27" s="91" t="s">
        <v>61</v>
      </c>
      <c r="G27" s="92">
        <f>C31/C25</f>
        <v>0.15686274509803921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49</v>
      </c>
      <c r="D29" s="96">
        <v>429.39</v>
      </c>
      <c r="E29" s="107">
        <v>68</v>
      </c>
      <c r="F29" s="91" t="s">
        <v>62</v>
      </c>
      <c r="G29" s="92">
        <f>C33/C25</f>
        <v>1.5686274509803921E-2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40</v>
      </c>
      <c r="D31" s="106">
        <v>425.36</v>
      </c>
      <c r="E31" s="107">
        <v>77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4</v>
      </c>
      <c r="D33" s="110">
        <v>381.57</v>
      </c>
      <c r="E33" s="111">
        <v>104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132</v>
      </c>
      <c r="D35" s="96">
        <v>507.52</v>
      </c>
      <c r="E35" s="90">
        <v>82</v>
      </c>
      <c r="F35" s="91" t="s">
        <v>60</v>
      </c>
      <c r="G35" s="92">
        <f>1684816/1766150</f>
        <v>0.95394841887721882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17</v>
      </c>
      <c r="D37" s="106">
        <v>484.78</v>
      </c>
      <c r="E37" s="97">
        <v>69</v>
      </c>
      <c r="F37" s="91" t="s">
        <v>61</v>
      </c>
      <c r="G37" s="92">
        <f>C41/C35</f>
        <v>0.19696969696969696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26</v>
      </c>
      <c r="D39" s="96">
        <v>512.61</v>
      </c>
      <c r="E39" s="107">
        <v>66</v>
      </c>
      <c r="F39" s="91" t="s">
        <v>62</v>
      </c>
      <c r="G39" s="92">
        <f>C43/C35</f>
        <v>3.787878787878788E-2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26</v>
      </c>
      <c r="D41" s="106">
        <v>474.61</v>
      </c>
      <c r="E41" s="107">
        <v>62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455.38</v>
      </c>
      <c r="E43" s="111">
        <v>120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137</v>
      </c>
      <c r="D45" s="89">
        <v>591.04999999999995</v>
      </c>
      <c r="E45" s="123">
        <v>108</v>
      </c>
      <c r="F45" s="91" t="s">
        <v>60</v>
      </c>
      <c r="G45" s="92">
        <f>2378031/2512669</f>
        <v>0.94641634055261559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20</v>
      </c>
      <c r="D47" s="96">
        <v>595.19000000000005</v>
      </c>
      <c r="E47" s="133">
        <v>87</v>
      </c>
      <c r="F47" s="91" t="s">
        <v>61</v>
      </c>
      <c r="G47" s="92">
        <f>C51/C45</f>
        <v>0.13868613138686131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23</v>
      </c>
      <c r="D49" s="106">
        <v>618.05999999999995</v>
      </c>
      <c r="E49" s="107">
        <v>115</v>
      </c>
      <c r="F49" s="91" t="s">
        <v>62</v>
      </c>
      <c r="G49" s="92">
        <f>C53/C45</f>
        <v>2.9197080291970802E-2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19</v>
      </c>
      <c r="D51" s="106">
        <v>605.75</v>
      </c>
      <c r="E51" s="107">
        <v>79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587.49</v>
      </c>
      <c r="E53" s="111">
        <v>176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206</v>
      </c>
      <c r="D55" s="89">
        <v>911.88</v>
      </c>
      <c r="E55" s="123">
        <v>135</v>
      </c>
      <c r="F55" s="91" t="s">
        <v>60</v>
      </c>
      <c r="G55" s="164">
        <f>4307677/4514637</f>
        <v>0.95415799764189235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15</v>
      </c>
      <c r="D57" s="96">
        <v>774.5</v>
      </c>
      <c r="E57" s="133">
        <v>177</v>
      </c>
      <c r="F57" s="91" t="s">
        <v>61</v>
      </c>
      <c r="G57" s="92">
        <f>C61/C55</f>
        <v>6.3106796116504854E-2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26</v>
      </c>
      <c r="D59" s="157">
        <v>785.26</v>
      </c>
      <c r="E59" s="133">
        <v>119</v>
      </c>
      <c r="F59" s="91" t="s">
        <v>62</v>
      </c>
      <c r="G59" s="92">
        <f>C63/C55</f>
        <v>2.9126213592233011E-2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13</v>
      </c>
      <c r="D61" s="157">
        <v>731.16</v>
      </c>
      <c r="E61" s="142">
        <v>140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883.06</v>
      </c>
      <c r="E63" s="163">
        <v>281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189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3A18A-71A0-4310-A62A-B03BA7774137}">
  <dimension ref="A1:M65"/>
  <sheetViews>
    <sheetView view="pageBreakPreview" zoomScaleNormal="100" zoomScaleSheetLayoutView="100" workbookViewId="0">
      <selection activeCell="H55" sqref="H5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186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954</v>
      </c>
      <c r="D5" s="89">
        <v>537.20000000000005</v>
      </c>
      <c r="E5" s="90">
        <v>107</v>
      </c>
      <c r="F5" s="91" t="s">
        <v>60</v>
      </c>
      <c r="G5" s="92">
        <f>1344055/1418673</f>
        <v>0.94740296037212235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104</v>
      </c>
      <c r="D7" s="167">
        <v>454.42</v>
      </c>
      <c r="E7" s="97">
        <v>117</v>
      </c>
      <c r="F7" s="91" t="s">
        <v>61</v>
      </c>
      <c r="G7" s="92">
        <f>C11/C5</f>
        <v>0.24842767295597484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178</v>
      </c>
      <c r="D9" s="169">
        <v>482.76</v>
      </c>
      <c r="E9" s="107">
        <v>82</v>
      </c>
      <c r="F9" s="91" t="s">
        <v>62</v>
      </c>
      <c r="G9" s="92">
        <f>C13/C5</f>
        <v>9.2243186582809222E-2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237</v>
      </c>
      <c r="D11" s="169">
        <v>424.64</v>
      </c>
      <c r="E11" s="107">
        <v>77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88</v>
      </c>
      <c r="D13" s="170">
        <v>464.65</v>
      </c>
      <c r="E13" s="111">
        <v>119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342</v>
      </c>
      <c r="D15" s="89">
        <v>387.67</v>
      </c>
      <c r="E15" s="90">
        <v>96</v>
      </c>
      <c r="F15" s="91" t="s">
        <v>60</v>
      </c>
      <c r="G15" s="92">
        <f>724620/746388</f>
        <v>0.97083554397980676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52</v>
      </c>
      <c r="D17" s="96">
        <v>373.6</v>
      </c>
      <c r="E17" s="97">
        <v>105</v>
      </c>
      <c r="F17" s="91" t="s">
        <v>61</v>
      </c>
      <c r="G17" s="92">
        <f>C21/C15</f>
        <v>0.37134502923976609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81</v>
      </c>
      <c r="D19" s="106">
        <v>358.54</v>
      </c>
      <c r="E19" s="107">
        <v>71</v>
      </c>
      <c r="F19" s="91" t="s">
        <v>62</v>
      </c>
      <c r="G19" s="92">
        <f>C23/C15</f>
        <v>0.11403508771929824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127</v>
      </c>
      <c r="D21" s="106">
        <v>358.49</v>
      </c>
      <c r="E21" s="107">
        <v>73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39</v>
      </c>
      <c r="D23" s="110">
        <v>386.87</v>
      </c>
      <c r="E23" s="111">
        <v>119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211</v>
      </c>
      <c r="D25" s="96">
        <v>464.74</v>
      </c>
      <c r="E25" s="90">
        <v>87</v>
      </c>
      <c r="F25" s="91" t="s">
        <v>60</v>
      </c>
      <c r="G25" s="92">
        <f>1201433/1271218</f>
        <v>0.94510382955559158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17</v>
      </c>
      <c r="D27" s="106">
        <v>424.5</v>
      </c>
      <c r="E27" s="97">
        <v>123</v>
      </c>
      <c r="F27" s="91" t="s">
        <v>61</v>
      </c>
      <c r="G27" s="92">
        <f>C31/C25</f>
        <v>0.18009478672985782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37</v>
      </c>
      <c r="D29" s="96">
        <v>437.02</v>
      </c>
      <c r="E29" s="107">
        <v>61</v>
      </c>
      <c r="F29" s="91" t="s">
        <v>62</v>
      </c>
      <c r="G29" s="92">
        <f>C33/C25</f>
        <v>9.004739336492891E-2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38</v>
      </c>
      <c r="D31" s="106">
        <v>394.21</v>
      </c>
      <c r="E31" s="107">
        <v>87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19</v>
      </c>
      <c r="D33" s="110">
        <v>463.3</v>
      </c>
      <c r="E33" s="111">
        <v>99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122</v>
      </c>
      <c r="D35" s="96">
        <v>511.22</v>
      </c>
      <c r="E35" s="90">
        <v>89</v>
      </c>
      <c r="F35" s="91" t="s">
        <v>60</v>
      </c>
      <c r="G35" s="92">
        <f>1587888/1743261</f>
        <v>0.91087221018539388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13</v>
      </c>
      <c r="D37" s="106">
        <v>459.53</v>
      </c>
      <c r="E37" s="97">
        <v>71</v>
      </c>
      <c r="F37" s="91" t="s">
        <v>61</v>
      </c>
      <c r="G37" s="92">
        <f>C41/C35</f>
        <v>0.22950819672131148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18</v>
      </c>
      <c r="D39" s="96">
        <v>563.94000000000005</v>
      </c>
      <c r="E39" s="107">
        <v>38</v>
      </c>
      <c r="F39" s="91" t="s">
        <v>62</v>
      </c>
      <c r="G39" s="92">
        <f>C43/C35</f>
        <v>0.12295081967213115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28</v>
      </c>
      <c r="D41" s="106">
        <v>432.28</v>
      </c>
      <c r="E41" s="107">
        <v>67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15</v>
      </c>
      <c r="D43" s="110">
        <v>465.18</v>
      </c>
      <c r="E43" s="111">
        <v>78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109</v>
      </c>
      <c r="D45" s="89">
        <v>609.79999999999995</v>
      </c>
      <c r="E45" s="123">
        <v>113</v>
      </c>
      <c r="F45" s="91" t="s">
        <v>60</v>
      </c>
      <c r="G45" s="92">
        <f>2339574/2502511</f>
        <v>0.93489059588549261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14</v>
      </c>
      <c r="D47" s="96">
        <v>586.78</v>
      </c>
      <c r="E47" s="133">
        <v>107</v>
      </c>
      <c r="F47" s="91" t="s">
        <v>61</v>
      </c>
      <c r="G47" s="92">
        <f>C51/C45</f>
        <v>0.24770642201834864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23</v>
      </c>
      <c r="D49" s="106">
        <v>662.66</v>
      </c>
      <c r="E49" s="107">
        <v>127</v>
      </c>
      <c r="F49" s="91" t="s">
        <v>62</v>
      </c>
      <c r="G49" s="92">
        <f>C53/C45</f>
        <v>8.2568807339449546E-2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27</v>
      </c>
      <c r="D51" s="106">
        <v>573.16</v>
      </c>
      <c r="E51" s="107">
        <v>76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9</v>
      </c>
      <c r="D53" s="110">
        <v>577.49</v>
      </c>
      <c r="E53" s="111">
        <v>157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170</v>
      </c>
      <c r="D55" s="89">
        <v>900.03</v>
      </c>
      <c r="E55" s="123">
        <v>160</v>
      </c>
      <c r="F55" s="91" t="s">
        <v>60</v>
      </c>
      <c r="G55" s="164">
        <f>4307677/4514637</f>
        <v>0.95415799764189235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8</v>
      </c>
      <c r="D57" s="96">
        <v>803.39</v>
      </c>
      <c r="E57" s="133">
        <v>278</v>
      </c>
      <c r="F57" s="91" t="s">
        <v>61</v>
      </c>
      <c r="G57" s="92">
        <f>C61/C55</f>
        <v>0.1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19</v>
      </c>
      <c r="D59" s="157">
        <v>806.72</v>
      </c>
      <c r="E59" s="133">
        <v>154</v>
      </c>
      <c r="F59" s="91" t="s">
        <v>62</v>
      </c>
      <c r="G59" s="92">
        <f>C63/C55</f>
        <v>3.5294117647058823E-2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17</v>
      </c>
      <c r="D61" s="157">
        <v>738.38</v>
      </c>
      <c r="E61" s="142">
        <v>101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803.96</v>
      </c>
      <c r="E63" s="163">
        <v>223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187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DB19F-FCF3-4580-90E9-44852C606904}">
  <sheetPr codeName="Sheet2">
    <pageSetUpPr fitToPage="1"/>
  </sheetPr>
  <dimension ref="A1:OL119"/>
  <sheetViews>
    <sheetView view="pageBreakPreview" zoomScaleNormal="85" zoomScaleSheetLayoutView="100" workbookViewId="0">
      <selection activeCell="GS13" sqref="GS13"/>
    </sheetView>
  </sheetViews>
  <sheetFormatPr defaultColWidth="10.54296875" defaultRowHeight="15.5" x14ac:dyDescent="0.35"/>
  <cols>
    <col min="1" max="1" width="10.54296875" style="12"/>
    <col min="2" max="6" width="0" hidden="1" customWidth="1"/>
    <col min="7" max="140" width="0" style="2" hidden="1" customWidth="1"/>
    <col min="141" max="141" width="10.54296875" style="2" hidden="1" customWidth="1"/>
    <col min="142" max="188" width="0" style="2" hidden="1" customWidth="1"/>
    <col min="189" max="200" width="10.54296875" style="2"/>
    <col min="201" max="201" width="10.1796875" style="2" customWidth="1"/>
    <col min="204" max="207" width="0" hidden="1" customWidth="1"/>
    <col min="208" max="213" width="0" style="2" hidden="1" customWidth="1"/>
    <col min="214" max="347" width="0" style="3" hidden="1" customWidth="1"/>
    <col min="348" max="348" width="10.54296875" style="3" hidden="1" customWidth="1"/>
    <col min="349" max="355" width="10.1796875" style="3" hidden="1" customWidth="1"/>
    <col min="356" max="390" width="9.81640625" style="3" hidden="1" customWidth="1"/>
    <col min="391" max="402" width="9.81640625" style="3" customWidth="1"/>
    <col min="403" max="16384" width="10.54296875" style="3"/>
  </cols>
  <sheetData>
    <row r="1" spans="1:402" ht="33" customHeight="1" x14ac:dyDescent="0.35">
      <c r="A1" s="1" t="s">
        <v>0</v>
      </c>
    </row>
    <row r="2" spans="1:402" ht="16" thickBot="1" x14ac:dyDescent="0.4">
      <c r="A2" s="4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5"/>
      <c r="GU2" s="5"/>
      <c r="GV2" s="5"/>
      <c r="GW2" s="5"/>
      <c r="GX2" s="5"/>
      <c r="GY2" s="5"/>
      <c r="GZ2" s="6"/>
      <c r="HA2" s="6"/>
      <c r="HB2" s="6"/>
      <c r="HC2" s="6"/>
      <c r="HD2" s="6"/>
      <c r="HE2" s="6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</row>
    <row r="3" spans="1:402" ht="18" x14ac:dyDescent="0.4">
      <c r="A3" s="8" t="s">
        <v>1</v>
      </c>
      <c r="B3" s="9"/>
      <c r="C3" s="9"/>
      <c r="D3" s="9"/>
      <c r="E3" s="9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9"/>
      <c r="GU3" s="9"/>
      <c r="GV3" s="9"/>
      <c r="GW3" s="9"/>
      <c r="GX3" s="9"/>
      <c r="GY3" s="9"/>
      <c r="GZ3" s="10"/>
      <c r="HA3" s="10"/>
      <c r="HB3" s="10"/>
      <c r="HC3" s="10"/>
      <c r="HD3" s="10"/>
      <c r="HE3" s="10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</row>
    <row r="4" spans="1:402" ht="16" thickBot="1" x14ac:dyDescent="0.4">
      <c r="GU4" s="12" t="s">
        <v>2</v>
      </c>
    </row>
    <row r="5" spans="1:402" x14ac:dyDescent="0.35">
      <c r="B5" s="13">
        <v>2007</v>
      </c>
      <c r="C5" s="13"/>
      <c r="D5" s="13"/>
      <c r="E5" s="14"/>
      <c r="F5" s="15">
        <v>2008</v>
      </c>
      <c r="G5" s="16"/>
      <c r="H5" s="17"/>
      <c r="I5" s="16"/>
      <c r="J5" s="16"/>
      <c r="K5" s="16"/>
      <c r="L5" s="18"/>
      <c r="M5" s="18"/>
      <c r="N5" s="18"/>
      <c r="O5" s="18"/>
      <c r="P5" s="18"/>
      <c r="Q5" s="18"/>
      <c r="R5" s="19">
        <v>2009</v>
      </c>
      <c r="S5" s="19"/>
      <c r="T5" s="19"/>
      <c r="U5" s="19"/>
      <c r="V5" s="16"/>
      <c r="W5" s="16"/>
      <c r="X5" s="16"/>
      <c r="Y5" s="16"/>
      <c r="Z5" s="16"/>
      <c r="AA5" s="16"/>
      <c r="AB5" s="16"/>
      <c r="AC5" s="16"/>
      <c r="AD5" s="19">
        <v>2010</v>
      </c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>
        <v>2011</v>
      </c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9">
        <v>2012</v>
      </c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9">
        <v>2013</v>
      </c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>
        <v>2014</v>
      </c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>
        <v>2015</v>
      </c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9">
        <v>2016</v>
      </c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9">
        <v>2017</v>
      </c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>
        <v>2018</v>
      </c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9">
        <v>2019</v>
      </c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9">
        <v>2020</v>
      </c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9">
        <v>2021</v>
      </c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>
        <v>2022</v>
      </c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>
        <v>2023</v>
      </c>
      <c r="GE5" s="19"/>
      <c r="GF5" s="16"/>
      <c r="GG5" s="19">
        <v>2023</v>
      </c>
      <c r="GH5" s="16"/>
      <c r="GI5" s="16"/>
      <c r="GJ5" s="16"/>
      <c r="GK5" s="16"/>
      <c r="GL5" s="16"/>
      <c r="GM5" s="16"/>
      <c r="GN5" s="16"/>
      <c r="GO5" s="16"/>
      <c r="GP5" s="19">
        <v>2024</v>
      </c>
      <c r="GQ5" s="19"/>
      <c r="GR5" s="183"/>
      <c r="GS5" s="14"/>
      <c r="GV5" s="13">
        <v>2007</v>
      </c>
      <c r="GW5" s="13"/>
      <c r="GX5" s="13"/>
      <c r="GY5" s="14"/>
      <c r="GZ5" s="15">
        <v>2008</v>
      </c>
      <c r="HA5" s="16"/>
      <c r="HB5" s="17"/>
      <c r="HC5" s="16"/>
      <c r="HD5" s="16"/>
      <c r="HE5" s="16"/>
      <c r="HF5" s="18"/>
      <c r="HG5" s="18"/>
      <c r="HH5" s="18"/>
      <c r="HI5" s="18"/>
      <c r="HJ5" s="18"/>
      <c r="HK5" s="18"/>
      <c r="HL5" s="19">
        <v>2009</v>
      </c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>
        <v>2010</v>
      </c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>
        <v>2011</v>
      </c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>
        <v>2012</v>
      </c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>
        <v>2013</v>
      </c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>
        <v>2014</v>
      </c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>
        <v>2015</v>
      </c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>
        <v>2016</v>
      </c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>
        <v>2017</v>
      </c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>
        <v>2018</v>
      </c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>
        <v>2019</v>
      </c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>
        <v>2020</v>
      </c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>
        <v>2021</v>
      </c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>
        <v>2022</v>
      </c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>
        <v>2023</v>
      </c>
      <c r="NY5" s="19"/>
      <c r="NZ5" s="19"/>
      <c r="OA5" s="19">
        <v>2023</v>
      </c>
      <c r="OB5" s="19"/>
      <c r="OC5" s="19"/>
      <c r="OD5" s="19"/>
      <c r="OE5" s="19"/>
      <c r="OF5" s="19"/>
      <c r="OG5" s="19"/>
      <c r="OH5" s="19"/>
      <c r="OI5" s="19"/>
      <c r="OJ5" s="19">
        <v>2024</v>
      </c>
      <c r="OK5" s="19"/>
      <c r="OL5" s="19"/>
    </row>
    <row r="6" spans="1:402" x14ac:dyDescent="0.35">
      <c r="B6" s="20" t="s">
        <v>3</v>
      </c>
      <c r="C6" s="21" t="s">
        <v>4</v>
      </c>
      <c r="D6" s="20" t="s">
        <v>5</v>
      </c>
      <c r="E6" s="20" t="s">
        <v>6</v>
      </c>
      <c r="F6" s="20" t="s">
        <v>7</v>
      </c>
      <c r="G6" s="20" t="s">
        <v>8</v>
      </c>
      <c r="H6" s="20" t="s">
        <v>9</v>
      </c>
      <c r="I6" s="20" t="s">
        <v>10</v>
      </c>
      <c r="J6" s="20" t="s">
        <v>11</v>
      </c>
      <c r="K6" s="20" t="s">
        <v>12</v>
      </c>
      <c r="L6" s="20" t="s">
        <v>13</v>
      </c>
      <c r="M6" s="20" t="s">
        <v>14</v>
      </c>
      <c r="N6" s="20" t="s">
        <v>3</v>
      </c>
      <c r="O6" s="20" t="s">
        <v>4</v>
      </c>
      <c r="P6" s="20" t="s">
        <v>5</v>
      </c>
      <c r="Q6" s="20" t="s">
        <v>15</v>
      </c>
      <c r="R6" s="22" t="s">
        <v>7</v>
      </c>
      <c r="S6" s="22" t="s">
        <v>8</v>
      </c>
      <c r="T6" s="22" t="s">
        <v>9</v>
      </c>
      <c r="U6" s="22" t="s">
        <v>10</v>
      </c>
      <c r="V6" s="22" t="s">
        <v>11</v>
      </c>
      <c r="W6" s="22" t="s">
        <v>12</v>
      </c>
      <c r="X6" s="22" t="s">
        <v>13</v>
      </c>
      <c r="Y6" s="22" t="s">
        <v>14</v>
      </c>
      <c r="Z6" s="22" t="s">
        <v>16</v>
      </c>
      <c r="AA6" s="22" t="s">
        <v>4</v>
      </c>
      <c r="AB6" s="22" t="s">
        <v>5</v>
      </c>
      <c r="AC6" s="22" t="s">
        <v>6</v>
      </c>
      <c r="AD6" s="22" t="s">
        <v>17</v>
      </c>
      <c r="AE6" s="22" t="s">
        <v>8</v>
      </c>
      <c r="AF6" s="22" t="s">
        <v>18</v>
      </c>
      <c r="AG6" s="22" t="s">
        <v>10</v>
      </c>
      <c r="AH6" s="22" t="s">
        <v>11</v>
      </c>
      <c r="AI6" s="22" t="s">
        <v>12</v>
      </c>
      <c r="AJ6" s="22" t="s">
        <v>13</v>
      </c>
      <c r="AK6" s="22" t="s">
        <v>14</v>
      </c>
      <c r="AL6" s="22" t="s">
        <v>16</v>
      </c>
      <c r="AM6" s="22" t="s">
        <v>19</v>
      </c>
      <c r="AN6" s="22" t="s">
        <v>5</v>
      </c>
      <c r="AO6" s="22" t="s">
        <v>6</v>
      </c>
      <c r="AP6" s="22" t="s">
        <v>7</v>
      </c>
      <c r="AQ6" s="22" t="s">
        <v>8</v>
      </c>
      <c r="AR6" s="22" t="s">
        <v>9</v>
      </c>
      <c r="AS6" s="22" t="s">
        <v>10</v>
      </c>
      <c r="AT6" s="22" t="s">
        <v>11</v>
      </c>
      <c r="AU6" s="22" t="s">
        <v>12</v>
      </c>
      <c r="AV6" s="22" t="s">
        <v>13</v>
      </c>
      <c r="AW6" s="22" t="s">
        <v>14</v>
      </c>
      <c r="AX6" s="22" t="s">
        <v>3</v>
      </c>
      <c r="AY6" s="22" t="s">
        <v>4</v>
      </c>
      <c r="AZ6" s="22" t="s">
        <v>5</v>
      </c>
      <c r="BA6" s="22" t="s">
        <v>15</v>
      </c>
      <c r="BB6" s="22" t="s">
        <v>7</v>
      </c>
      <c r="BC6" s="22" t="s">
        <v>8</v>
      </c>
      <c r="BD6" s="22" t="s">
        <v>18</v>
      </c>
      <c r="BE6" s="22" t="s">
        <v>10</v>
      </c>
      <c r="BF6" s="22" t="s">
        <v>11</v>
      </c>
      <c r="BG6" s="22" t="s">
        <v>12</v>
      </c>
      <c r="BH6" s="22" t="s">
        <v>20</v>
      </c>
      <c r="BI6" s="22" t="s">
        <v>21</v>
      </c>
      <c r="BJ6" s="22" t="s">
        <v>16</v>
      </c>
      <c r="BK6" s="22" t="s">
        <v>19</v>
      </c>
      <c r="BL6" s="22" t="s">
        <v>5</v>
      </c>
      <c r="BM6" s="22" t="s">
        <v>15</v>
      </c>
      <c r="BN6" s="22" t="s">
        <v>7</v>
      </c>
      <c r="BO6" s="22" t="s">
        <v>8</v>
      </c>
      <c r="BP6" s="22" t="s">
        <v>9</v>
      </c>
      <c r="BQ6" s="22" t="s">
        <v>10</v>
      </c>
      <c r="BR6" s="22" t="s">
        <v>11</v>
      </c>
      <c r="BS6" s="22" t="s">
        <v>12</v>
      </c>
      <c r="BT6" s="22" t="s">
        <v>20</v>
      </c>
      <c r="BU6" s="22" t="s">
        <v>21</v>
      </c>
      <c r="BV6" s="22" t="s">
        <v>22</v>
      </c>
      <c r="BW6" s="22" t="s">
        <v>4</v>
      </c>
      <c r="BX6" s="22" t="s">
        <v>5</v>
      </c>
      <c r="BY6" s="22" t="s">
        <v>6</v>
      </c>
      <c r="BZ6" s="22" t="s">
        <v>17</v>
      </c>
      <c r="CA6" s="22" t="s">
        <v>23</v>
      </c>
      <c r="CB6" s="22" t="s">
        <v>18</v>
      </c>
      <c r="CC6" s="22" t="s">
        <v>24</v>
      </c>
      <c r="CD6" s="22" t="s">
        <v>11</v>
      </c>
      <c r="CE6" s="22" t="s">
        <v>12</v>
      </c>
      <c r="CF6" s="22" t="s">
        <v>13</v>
      </c>
      <c r="CG6" s="22" t="s">
        <v>14</v>
      </c>
      <c r="CH6" s="22" t="s">
        <v>16</v>
      </c>
      <c r="CI6" s="22" t="s">
        <v>4</v>
      </c>
      <c r="CJ6" s="22" t="s">
        <v>5</v>
      </c>
      <c r="CK6" s="22" t="s">
        <v>6</v>
      </c>
      <c r="CL6" s="22" t="s">
        <v>7</v>
      </c>
      <c r="CM6" s="22" t="s">
        <v>8</v>
      </c>
      <c r="CN6" s="22" t="s">
        <v>18</v>
      </c>
      <c r="CO6" s="22" t="s">
        <v>10</v>
      </c>
      <c r="CP6" s="22" t="s">
        <v>11</v>
      </c>
      <c r="CQ6" s="22" t="s">
        <v>12</v>
      </c>
      <c r="CR6" s="22" t="s">
        <v>20</v>
      </c>
      <c r="CS6" s="22" t="s">
        <v>14</v>
      </c>
      <c r="CT6" s="22" t="s">
        <v>22</v>
      </c>
      <c r="CU6" s="22" t="s">
        <v>19</v>
      </c>
      <c r="CV6" s="22" t="s">
        <v>5</v>
      </c>
      <c r="CW6" s="22" t="s">
        <v>15</v>
      </c>
      <c r="CX6" s="22" t="s">
        <v>7</v>
      </c>
      <c r="CY6" s="22" t="s">
        <v>23</v>
      </c>
      <c r="CZ6" s="22" t="s">
        <v>18</v>
      </c>
      <c r="DA6" s="22" t="s">
        <v>24</v>
      </c>
      <c r="DB6" s="22" t="s">
        <v>11</v>
      </c>
      <c r="DC6" s="22" t="s">
        <v>12</v>
      </c>
      <c r="DD6" s="22" t="s">
        <v>13</v>
      </c>
      <c r="DE6" s="22" t="s">
        <v>14</v>
      </c>
      <c r="DF6" s="22" t="s">
        <v>16</v>
      </c>
      <c r="DG6" s="22" t="s">
        <v>4</v>
      </c>
      <c r="DH6" s="22" t="s">
        <v>5</v>
      </c>
      <c r="DI6" s="22" t="s">
        <v>15</v>
      </c>
      <c r="DJ6" s="22" t="s">
        <v>7</v>
      </c>
      <c r="DK6" s="22" t="s">
        <v>8</v>
      </c>
      <c r="DL6" s="22" t="s">
        <v>18</v>
      </c>
      <c r="DM6" s="22" t="s">
        <v>24</v>
      </c>
      <c r="DN6" s="22" t="s">
        <v>11</v>
      </c>
      <c r="DO6" s="22" t="s">
        <v>12</v>
      </c>
      <c r="DP6" s="22" t="s">
        <v>20</v>
      </c>
      <c r="DQ6" s="22" t="s">
        <v>14</v>
      </c>
      <c r="DR6" s="22" t="s">
        <v>22</v>
      </c>
      <c r="DS6" s="22" t="s">
        <v>19</v>
      </c>
      <c r="DT6" s="22" t="s">
        <v>5</v>
      </c>
      <c r="DU6" s="22" t="s">
        <v>15</v>
      </c>
      <c r="DV6" s="22" t="s">
        <v>7</v>
      </c>
      <c r="DW6" s="22" t="s">
        <v>8</v>
      </c>
      <c r="DX6" s="22" t="s">
        <v>18</v>
      </c>
      <c r="DY6" s="22" t="s">
        <v>24</v>
      </c>
      <c r="DZ6" s="22" t="s">
        <v>11</v>
      </c>
      <c r="EA6" s="22" t="s">
        <v>12</v>
      </c>
      <c r="EB6" s="22" t="s">
        <v>20</v>
      </c>
      <c r="EC6" s="22" t="s">
        <v>21</v>
      </c>
      <c r="ED6" s="22" t="s">
        <v>22</v>
      </c>
      <c r="EE6" s="22" t="s">
        <v>4</v>
      </c>
      <c r="EF6" s="22" t="s">
        <v>5</v>
      </c>
      <c r="EG6" s="22" t="s">
        <v>15</v>
      </c>
      <c r="EH6" s="22" t="s">
        <v>17</v>
      </c>
      <c r="EI6" s="22" t="s">
        <v>23</v>
      </c>
      <c r="EJ6" s="22" t="s">
        <v>18</v>
      </c>
      <c r="EK6" s="22" t="s">
        <v>24</v>
      </c>
      <c r="EL6" s="22" t="s">
        <v>11</v>
      </c>
      <c r="EM6" s="22" t="s">
        <v>12</v>
      </c>
      <c r="EN6" s="22" t="s">
        <v>20</v>
      </c>
      <c r="EO6" s="22" t="s">
        <v>21</v>
      </c>
      <c r="EP6" s="22" t="s">
        <v>22</v>
      </c>
      <c r="EQ6" s="22" t="s">
        <v>4</v>
      </c>
      <c r="ER6" s="22" t="s">
        <v>5</v>
      </c>
      <c r="ES6" s="22" t="s">
        <v>6</v>
      </c>
      <c r="ET6" s="22" t="s">
        <v>17</v>
      </c>
      <c r="EU6" s="22" t="s">
        <v>8</v>
      </c>
      <c r="EV6" s="22" t="s">
        <v>18</v>
      </c>
      <c r="EW6" s="22" t="s">
        <v>10</v>
      </c>
      <c r="EX6" s="22" t="s">
        <v>11</v>
      </c>
      <c r="EY6" s="22" t="s">
        <v>12</v>
      </c>
      <c r="EZ6" s="22" t="s">
        <v>20</v>
      </c>
      <c r="FA6" s="22" t="s">
        <v>14</v>
      </c>
      <c r="FB6" s="22" t="s">
        <v>22</v>
      </c>
      <c r="FC6" s="22" t="s">
        <v>4</v>
      </c>
      <c r="FD6" s="22" t="s">
        <v>5</v>
      </c>
      <c r="FE6" s="22" t="s">
        <v>6</v>
      </c>
      <c r="FF6" s="22" t="s">
        <v>7</v>
      </c>
      <c r="FG6" s="22" t="s">
        <v>8</v>
      </c>
      <c r="FH6" s="22" t="s">
        <v>9</v>
      </c>
      <c r="FI6" s="22" t="s">
        <v>24</v>
      </c>
      <c r="FJ6" s="22" t="s">
        <v>11</v>
      </c>
      <c r="FK6" s="22" t="s">
        <v>12</v>
      </c>
      <c r="FL6" s="22" t="s">
        <v>20</v>
      </c>
      <c r="FM6" s="22" t="s">
        <v>14</v>
      </c>
      <c r="FN6" s="22" t="s">
        <v>22</v>
      </c>
      <c r="FO6" s="22" t="s">
        <v>19</v>
      </c>
      <c r="FP6" s="22" t="s">
        <v>27</v>
      </c>
      <c r="FQ6" s="22" t="s">
        <v>15</v>
      </c>
      <c r="FR6" s="22" t="s">
        <v>7</v>
      </c>
      <c r="FS6" s="22" t="s">
        <v>8</v>
      </c>
      <c r="FT6" s="22" t="s">
        <v>9</v>
      </c>
      <c r="FU6" s="22" t="s">
        <v>10</v>
      </c>
      <c r="FV6" s="22" t="s">
        <v>11</v>
      </c>
      <c r="FW6" s="22" t="s">
        <v>12</v>
      </c>
      <c r="FX6" s="22" t="s">
        <v>20</v>
      </c>
      <c r="FY6" s="22" t="s">
        <v>14</v>
      </c>
      <c r="FZ6" s="22" t="s">
        <v>16</v>
      </c>
      <c r="GA6" s="22" t="s">
        <v>19</v>
      </c>
      <c r="GB6" s="22" t="s">
        <v>5</v>
      </c>
      <c r="GC6" s="22" t="s">
        <v>6</v>
      </c>
      <c r="GD6" s="22" t="s">
        <v>7</v>
      </c>
      <c r="GE6" s="22" t="s">
        <v>8</v>
      </c>
      <c r="GF6" s="22" t="s">
        <v>18</v>
      </c>
      <c r="GG6" s="22" t="s">
        <v>24</v>
      </c>
      <c r="GH6" s="22" t="s">
        <v>11</v>
      </c>
      <c r="GI6" s="22" t="s">
        <v>12</v>
      </c>
      <c r="GJ6" s="22" t="s">
        <v>13</v>
      </c>
      <c r="GK6" s="22" t="s">
        <v>14</v>
      </c>
      <c r="GL6" s="22" t="s">
        <v>22</v>
      </c>
      <c r="GM6" s="22" t="s">
        <v>4</v>
      </c>
      <c r="GN6" s="22" t="s">
        <v>5</v>
      </c>
      <c r="GO6" s="22" t="s">
        <v>6</v>
      </c>
      <c r="GP6" s="22" t="s">
        <v>7</v>
      </c>
      <c r="GQ6" s="22" t="s">
        <v>8</v>
      </c>
      <c r="GR6" s="22" t="s">
        <v>18</v>
      </c>
      <c r="GS6" s="22" t="s">
        <v>25</v>
      </c>
      <c r="GT6" s="2"/>
      <c r="GU6" s="2"/>
      <c r="GV6" s="20" t="s">
        <v>3</v>
      </c>
      <c r="GW6" s="21" t="s">
        <v>4</v>
      </c>
      <c r="GX6" s="20" t="s">
        <v>5</v>
      </c>
      <c r="GY6" s="20" t="s">
        <v>6</v>
      </c>
      <c r="GZ6" s="20" t="s">
        <v>7</v>
      </c>
      <c r="HA6" s="20" t="s">
        <v>8</v>
      </c>
      <c r="HB6" s="20" t="s">
        <v>9</v>
      </c>
      <c r="HC6" s="20" t="s">
        <v>10</v>
      </c>
      <c r="HD6" s="20" t="s">
        <v>11</v>
      </c>
      <c r="HE6" s="20" t="s">
        <v>12</v>
      </c>
      <c r="HF6" s="20" t="s">
        <v>13</v>
      </c>
      <c r="HG6" s="20" t="s">
        <v>14</v>
      </c>
      <c r="HH6" s="20" t="s">
        <v>3</v>
      </c>
      <c r="HI6" s="20" t="s">
        <v>4</v>
      </c>
      <c r="HJ6" s="20" t="s">
        <v>5</v>
      </c>
      <c r="HK6" s="20" t="s">
        <v>15</v>
      </c>
      <c r="HL6" s="22" t="s">
        <v>7</v>
      </c>
      <c r="HM6" s="22" t="s">
        <v>8</v>
      </c>
      <c r="HN6" s="22" t="s">
        <v>9</v>
      </c>
      <c r="HO6" s="22" t="s">
        <v>10</v>
      </c>
      <c r="HP6" s="22" t="s">
        <v>11</v>
      </c>
      <c r="HQ6" s="22" t="s">
        <v>12</v>
      </c>
      <c r="HR6" s="22" t="s">
        <v>13</v>
      </c>
      <c r="HS6" s="22" t="s">
        <v>14</v>
      </c>
      <c r="HT6" s="22" t="s">
        <v>16</v>
      </c>
      <c r="HU6" s="22" t="s">
        <v>4</v>
      </c>
      <c r="HV6" s="22" t="s">
        <v>5</v>
      </c>
      <c r="HW6" s="22" t="s">
        <v>6</v>
      </c>
      <c r="HX6" s="22" t="s">
        <v>17</v>
      </c>
      <c r="HY6" s="22" t="s">
        <v>8</v>
      </c>
      <c r="HZ6" s="22" t="s">
        <v>18</v>
      </c>
      <c r="IA6" s="22" t="s">
        <v>10</v>
      </c>
      <c r="IB6" s="22" t="s">
        <v>11</v>
      </c>
      <c r="IC6" s="22" t="s">
        <v>12</v>
      </c>
      <c r="ID6" s="22" t="s">
        <v>13</v>
      </c>
      <c r="IE6" s="22" t="s">
        <v>26</v>
      </c>
      <c r="IF6" s="22" t="s">
        <v>16</v>
      </c>
      <c r="IG6" s="22" t="s">
        <v>4</v>
      </c>
      <c r="IH6" s="22" t="s">
        <v>5</v>
      </c>
      <c r="II6" s="22" t="s">
        <v>6</v>
      </c>
      <c r="IJ6" s="22" t="s">
        <v>7</v>
      </c>
      <c r="IK6" s="22" t="s">
        <v>8</v>
      </c>
      <c r="IL6" s="22" t="s">
        <v>18</v>
      </c>
      <c r="IM6" s="22" t="s">
        <v>10</v>
      </c>
      <c r="IN6" s="22" t="s">
        <v>11</v>
      </c>
      <c r="IO6" s="22" t="s">
        <v>12</v>
      </c>
      <c r="IP6" s="22" t="s">
        <v>13</v>
      </c>
      <c r="IQ6" s="22" t="s">
        <v>14</v>
      </c>
      <c r="IR6" s="22" t="s">
        <v>3</v>
      </c>
      <c r="IS6" s="22" t="s">
        <v>4</v>
      </c>
      <c r="IT6" s="22" t="s">
        <v>5</v>
      </c>
      <c r="IU6" s="22" t="s">
        <v>15</v>
      </c>
      <c r="IV6" s="22" t="s">
        <v>7</v>
      </c>
      <c r="IW6" s="22" t="s">
        <v>8</v>
      </c>
      <c r="IX6" s="22" t="s">
        <v>9</v>
      </c>
      <c r="IY6" s="22" t="s">
        <v>10</v>
      </c>
      <c r="IZ6" s="22" t="s">
        <v>11</v>
      </c>
      <c r="JA6" s="22" t="s">
        <v>12</v>
      </c>
      <c r="JB6" s="22" t="s">
        <v>20</v>
      </c>
      <c r="JC6" s="22" t="s">
        <v>21</v>
      </c>
      <c r="JD6" s="22" t="s">
        <v>16</v>
      </c>
      <c r="JE6" s="22" t="s">
        <v>4</v>
      </c>
      <c r="JF6" s="22" t="s">
        <v>5</v>
      </c>
      <c r="JG6" s="22" t="s">
        <v>6</v>
      </c>
      <c r="JH6" s="22" t="s">
        <v>7</v>
      </c>
      <c r="JI6" s="22" t="s">
        <v>8</v>
      </c>
      <c r="JJ6" s="22" t="s">
        <v>9</v>
      </c>
      <c r="JK6" s="22" t="s">
        <v>10</v>
      </c>
      <c r="JL6" s="22" t="s">
        <v>11</v>
      </c>
      <c r="JM6" s="22" t="s">
        <v>12</v>
      </c>
      <c r="JN6" s="22" t="s">
        <v>20</v>
      </c>
      <c r="JO6" s="22" t="s">
        <v>21</v>
      </c>
      <c r="JP6" s="22" t="s">
        <v>22</v>
      </c>
      <c r="JQ6" s="22" t="s">
        <v>4</v>
      </c>
      <c r="JR6" s="22" t="s">
        <v>5</v>
      </c>
      <c r="JS6" s="22" t="s">
        <v>6</v>
      </c>
      <c r="JT6" s="22" t="s">
        <v>17</v>
      </c>
      <c r="JU6" s="22" t="s">
        <v>23</v>
      </c>
      <c r="JV6" s="22" t="s">
        <v>18</v>
      </c>
      <c r="JW6" s="22" t="s">
        <v>24</v>
      </c>
      <c r="JX6" s="22" t="s">
        <v>11</v>
      </c>
      <c r="JY6" s="22" t="s">
        <v>12</v>
      </c>
      <c r="JZ6" s="22" t="s">
        <v>13</v>
      </c>
      <c r="KA6" s="22" t="s">
        <v>14</v>
      </c>
      <c r="KB6" s="22" t="s">
        <v>22</v>
      </c>
      <c r="KC6" s="22" t="s">
        <v>4</v>
      </c>
      <c r="KD6" s="22" t="s">
        <v>5</v>
      </c>
      <c r="KE6" s="22" t="s">
        <v>6</v>
      </c>
      <c r="KF6" s="22" t="s">
        <v>17</v>
      </c>
      <c r="KG6" s="22" t="s">
        <v>8</v>
      </c>
      <c r="KH6" s="22" t="s">
        <v>18</v>
      </c>
      <c r="KI6" s="22" t="s">
        <v>10</v>
      </c>
      <c r="KJ6" s="22" t="s">
        <v>11</v>
      </c>
      <c r="KK6" s="22" t="s">
        <v>12</v>
      </c>
      <c r="KL6" s="22" t="s">
        <v>20</v>
      </c>
      <c r="KM6" s="22" t="s">
        <v>21</v>
      </c>
      <c r="KN6" s="22" t="s">
        <v>16</v>
      </c>
      <c r="KO6" s="22" t="s">
        <v>19</v>
      </c>
      <c r="KP6" s="22" t="s">
        <v>5</v>
      </c>
      <c r="KQ6" s="22" t="s">
        <v>6</v>
      </c>
      <c r="KR6" s="22" t="s">
        <v>7</v>
      </c>
      <c r="KS6" s="22" t="s">
        <v>8</v>
      </c>
      <c r="KT6" s="22" t="s">
        <v>18</v>
      </c>
      <c r="KU6" s="22" t="s">
        <v>24</v>
      </c>
      <c r="KV6" s="22" t="s">
        <v>11</v>
      </c>
      <c r="KW6" s="22" t="s">
        <v>12</v>
      </c>
      <c r="KX6" s="22" t="s">
        <v>20</v>
      </c>
      <c r="KY6" s="22" t="s">
        <v>14</v>
      </c>
      <c r="KZ6" s="22" t="s">
        <v>16</v>
      </c>
      <c r="LA6" s="22" t="s">
        <v>4</v>
      </c>
      <c r="LB6" s="22" t="s">
        <v>27</v>
      </c>
      <c r="LC6" s="22" t="s">
        <v>6</v>
      </c>
      <c r="LD6" s="22" t="s">
        <v>7</v>
      </c>
      <c r="LE6" s="22" t="s">
        <v>8</v>
      </c>
      <c r="LF6" s="22" t="s">
        <v>9</v>
      </c>
      <c r="LG6" s="22" t="s">
        <v>24</v>
      </c>
      <c r="LH6" s="22" t="s">
        <v>11</v>
      </c>
      <c r="LI6" s="22" t="s">
        <v>12</v>
      </c>
      <c r="LJ6" s="22" t="s">
        <v>20</v>
      </c>
      <c r="LK6" s="22" t="s">
        <v>14</v>
      </c>
      <c r="LL6" s="22" t="s">
        <v>22</v>
      </c>
      <c r="LM6" s="22" t="s">
        <v>19</v>
      </c>
      <c r="LN6" s="22" t="s">
        <v>5</v>
      </c>
      <c r="LO6" s="22" t="s">
        <v>15</v>
      </c>
      <c r="LP6" s="22" t="s">
        <v>7</v>
      </c>
      <c r="LQ6" s="22" t="s">
        <v>8</v>
      </c>
      <c r="LR6" s="22" t="s">
        <v>18</v>
      </c>
      <c r="LS6" s="22" t="s">
        <v>10</v>
      </c>
      <c r="LT6" s="22" t="s">
        <v>11</v>
      </c>
      <c r="LU6" s="22" t="s">
        <v>12</v>
      </c>
      <c r="LV6" s="22" t="s">
        <v>13</v>
      </c>
      <c r="LW6" s="22" t="s">
        <v>14</v>
      </c>
      <c r="LX6" s="22" t="s">
        <v>22</v>
      </c>
      <c r="LY6" s="22" t="s">
        <v>4</v>
      </c>
      <c r="LZ6" s="22" t="s">
        <v>5</v>
      </c>
      <c r="MA6" s="22" t="s">
        <v>6</v>
      </c>
      <c r="MB6" s="22" t="s">
        <v>17</v>
      </c>
      <c r="MC6" s="22" t="s">
        <v>8</v>
      </c>
      <c r="MD6" s="22" t="s">
        <v>18</v>
      </c>
      <c r="ME6" s="22" t="s">
        <v>24</v>
      </c>
      <c r="MF6" s="22" t="s">
        <v>11</v>
      </c>
      <c r="MG6" s="22" t="s">
        <v>101</v>
      </c>
      <c r="MH6" s="22" t="s">
        <v>20</v>
      </c>
      <c r="MI6" s="22" t="s">
        <v>14</v>
      </c>
      <c r="MJ6" s="22" t="s">
        <v>22</v>
      </c>
      <c r="MK6" s="22" t="s">
        <v>4</v>
      </c>
      <c r="ML6" s="22" t="s">
        <v>5</v>
      </c>
      <c r="MM6" s="22" t="s">
        <v>6</v>
      </c>
      <c r="MN6" s="22" t="s">
        <v>17</v>
      </c>
      <c r="MO6" s="22" t="s">
        <v>8</v>
      </c>
      <c r="MP6" s="22" t="s">
        <v>18</v>
      </c>
      <c r="MQ6" s="22" t="s">
        <v>24</v>
      </c>
      <c r="MR6" s="22" t="s">
        <v>11</v>
      </c>
      <c r="MS6" s="22" t="s">
        <v>12</v>
      </c>
      <c r="MT6" s="22" t="s">
        <v>20</v>
      </c>
      <c r="MU6" s="22" t="s">
        <v>14</v>
      </c>
      <c r="MV6" s="22" t="s">
        <v>22</v>
      </c>
      <c r="MW6" s="22" t="s">
        <v>4</v>
      </c>
      <c r="MX6" s="22" t="s">
        <v>5</v>
      </c>
      <c r="MY6" s="22" t="s">
        <v>15</v>
      </c>
      <c r="MZ6" s="22" t="s">
        <v>7</v>
      </c>
      <c r="NA6" s="22" t="s">
        <v>8</v>
      </c>
      <c r="NB6" s="22" t="s">
        <v>18</v>
      </c>
      <c r="NC6" s="22" t="s">
        <v>24</v>
      </c>
      <c r="ND6" s="22" t="s">
        <v>11</v>
      </c>
      <c r="NE6" s="22" t="s">
        <v>12</v>
      </c>
      <c r="NF6" s="22" t="s">
        <v>20</v>
      </c>
      <c r="NG6" s="22" t="s">
        <v>14</v>
      </c>
      <c r="NH6" s="22" t="s">
        <v>22</v>
      </c>
      <c r="NI6" s="22" t="s">
        <v>19</v>
      </c>
      <c r="NJ6" s="22" t="s">
        <v>27</v>
      </c>
      <c r="NK6" s="22" t="s">
        <v>6</v>
      </c>
      <c r="NL6" s="22" t="s">
        <v>7</v>
      </c>
      <c r="NM6" s="22" t="s">
        <v>8</v>
      </c>
      <c r="NN6" s="22" t="s">
        <v>9</v>
      </c>
      <c r="NO6" s="22" t="s">
        <v>10</v>
      </c>
      <c r="NP6" s="22" t="s">
        <v>11</v>
      </c>
      <c r="NQ6" s="22" t="s">
        <v>12</v>
      </c>
      <c r="NR6" s="22" t="s">
        <v>20</v>
      </c>
      <c r="NS6" s="22" t="s">
        <v>14</v>
      </c>
      <c r="NT6" s="22" t="s">
        <v>16</v>
      </c>
      <c r="NU6" s="22" t="s">
        <v>19</v>
      </c>
      <c r="NV6" s="22" t="s">
        <v>5</v>
      </c>
      <c r="NW6" s="22" t="s">
        <v>6</v>
      </c>
      <c r="NX6" s="22" t="s">
        <v>7</v>
      </c>
      <c r="NY6" s="22" t="s">
        <v>8</v>
      </c>
      <c r="NZ6" s="22" t="s">
        <v>18</v>
      </c>
      <c r="OA6" s="22" t="s">
        <v>24</v>
      </c>
      <c r="OB6" s="22" t="s">
        <v>11</v>
      </c>
      <c r="OC6" s="22" t="s">
        <v>12</v>
      </c>
      <c r="OD6" s="22" t="s">
        <v>13</v>
      </c>
      <c r="OE6" s="22" t="s">
        <v>14</v>
      </c>
      <c r="OF6" s="22" t="s">
        <v>16</v>
      </c>
      <c r="OG6" s="22" t="s">
        <v>4</v>
      </c>
      <c r="OH6" s="22" t="s">
        <v>5</v>
      </c>
      <c r="OI6" s="22" t="s">
        <v>15</v>
      </c>
      <c r="OJ6" s="22" t="s">
        <v>7</v>
      </c>
      <c r="OK6" s="22" t="s">
        <v>8</v>
      </c>
      <c r="OL6" s="22" t="s">
        <v>18</v>
      </c>
    </row>
    <row r="7" spans="1:402" s="145" customFormat="1" ht="19.5" customHeight="1" x14ac:dyDescent="0.35">
      <c r="A7" s="12" t="s">
        <v>28</v>
      </c>
      <c r="B7" s="156">
        <f>'[1]Sept 07'!C45</f>
        <v>3761</v>
      </c>
      <c r="C7" s="156">
        <f>'[1]Oct 07'!C45</f>
        <v>3876</v>
      </c>
      <c r="D7" s="156">
        <f>'[1]Nov 07'!C45</f>
        <v>3950</v>
      </c>
      <c r="E7" s="156">
        <f>'[1]Dec 07'!C45</f>
        <v>3743</v>
      </c>
      <c r="F7" s="156">
        <f>'[1]Jan 08'!C45</f>
        <v>4154</v>
      </c>
      <c r="G7" s="143">
        <f>'[1]Feb 08'!C45</f>
        <v>4254</v>
      </c>
      <c r="H7" s="143">
        <f>'[1]Mar 08'!C45</f>
        <v>4304</v>
      </c>
      <c r="I7" s="143">
        <v>4249</v>
      </c>
      <c r="J7" s="143">
        <f>'[1]May 08'!C45</f>
        <v>4063</v>
      </c>
      <c r="K7" s="143">
        <f>'[1]Jun 08'!C45</f>
        <v>3941</v>
      </c>
      <c r="L7" s="143">
        <f>'[1]Jul 08'!C45</f>
        <v>3872</v>
      </c>
      <c r="M7" s="143">
        <f>'[1]Aug 08'!C45</f>
        <v>3839</v>
      </c>
      <c r="N7" s="143">
        <v>3839</v>
      </c>
      <c r="O7" s="143">
        <v>3969</v>
      </c>
      <c r="P7" s="143">
        <v>4072</v>
      </c>
      <c r="Q7" s="143">
        <v>3790</v>
      </c>
      <c r="R7" s="143">
        <v>3964</v>
      </c>
      <c r="S7" s="143">
        <v>4007</v>
      </c>
      <c r="T7" s="143">
        <v>3933</v>
      </c>
      <c r="U7" s="143">
        <v>3661</v>
      </c>
      <c r="V7" s="143">
        <v>3224</v>
      </c>
      <c r="W7" s="143">
        <v>2907</v>
      </c>
      <c r="X7" s="143">
        <v>2782</v>
      </c>
      <c r="Y7" s="143">
        <v>2752</v>
      </c>
      <c r="Z7" s="143">
        <v>2829</v>
      </c>
      <c r="AA7" s="143">
        <v>2917</v>
      </c>
      <c r="AB7" s="143">
        <v>2910</v>
      </c>
      <c r="AC7" s="143">
        <v>2755</v>
      </c>
      <c r="AD7" s="143">
        <v>2927</v>
      </c>
      <c r="AE7" s="143">
        <v>2924</v>
      </c>
      <c r="AF7" s="143">
        <v>2896</v>
      </c>
      <c r="AG7" s="143">
        <v>2793</v>
      </c>
      <c r="AH7" s="143">
        <v>2653</v>
      </c>
      <c r="AI7" s="143">
        <v>2556</v>
      </c>
      <c r="AJ7" s="143">
        <v>2568</v>
      </c>
      <c r="AK7" s="143">
        <v>2588</v>
      </c>
      <c r="AL7" s="143">
        <v>2725</v>
      </c>
      <c r="AM7" s="143">
        <v>2718</v>
      </c>
      <c r="AN7" s="143">
        <v>2696</v>
      </c>
      <c r="AO7" s="143">
        <v>2585</v>
      </c>
      <c r="AP7" s="143">
        <v>2591</v>
      </c>
      <c r="AQ7" s="143">
        <v>2488</v>
      </c>
      <c r="AR7" s="143">
        <v>2332</v>
      </c>
      <c r="AS7" s="143">
        <v>2167</v>
      </c>
      <c r="AT7" s="143">
        <v>1908</v>
      </c>
      <c r="AU7" s="143">
        <v>1734</v>
      </c>
      <c r="AV7" s="143">
        <v>1638</v>
      </c>
      <c r="AW7" s="143">
        <v>1597</v>
      </c>
      <c r="AX7" s="143">
        <v>1640</v>
      </c>
      <c r="AY7" s="143">
        <v>1776</v>
      </c>
      <c r="AZ7" s="143">
        <v>1782</v>
      </c>
      <c r="BA7" s="143">
        <v>1682</v>
      </c>
      <c r="BB7" s="143">
        <v>1756</v>
      </c>
      <c r="BC7" s="143">
        <v>1716</v>
      </c>
      <c r="BD7" s="143">
        <v>1604</v>
      </c>
      <c r="BE7" s="143">
        <v>1435</v>
      </c>
      <c r="BF7" s="143">
        <v>1359</v>
      </c>
      <c r="BG7" s="143">
        <v>1298</v>
      </c>
      <c r="BH7" s="143">
        <v>1269</v>
      </c>
      <c r="BI7" s="143">
        <v>1253</v>
      </c>
      <c r="BJ7" s="143">
        <v>1320</v>
      </c>
      <c r="BK7" s="143">
        <v>1484</v>
      </c>
      <c r="BL7" s="143">
        <v>1568</v>
      </c>
      <c r="BM7" s="143">
        <v>1456</v>
      </c>
      <c r="BN7" s="143">
        <v>1557</v>
      </c>
      <c r="BO7" s="143">
        <v>1574</v>
      </c>
      <c r="BP7" s="143">
        <v>1619</v>
      </c>
      <c r="BQ7" s="143">
        <v>1528</v>
      </c>
      <c r="BR7" s="143">
        <v>1463</v>
      </c>
      <c r="BS7" s="143">
        <v>1349</v>
      </c>
      <c r="BT7" s="143">
        <v>1341</v>
      </c>
      <c r="BU7" s="143">
        <v>1431</v>
      </c>
      <c r="BV7" s="143">
        <v>1608</v>
      </c>
      <c r="BW7" s="143">
        <v>1925</v>
      </c>
      <c r="BX7" s="143">
        <v>1947</v>
      </c>
      <c r="BY7" s="143">
        <v>1889</v>
      </c>
      <c r="BZ7" s="143">
        <v>2243</v>
      </c>
      <c r="CA7" s="143">
        <v>2356</v>
      </c>
      <c r="CB7" s="143">
        <v>2400</v>
      </c>
      <c r="CC7" s="143">
        <v>2372</v>
      </c>
      <c r="CD7" s="143">
        <v>2286</v>
      </c>
      <c r="CE7" s="143">
        <v>2047</v>
      </c>
      <c r="CF7" s="143">
        <v>1920</v>
      </c>
      <c r="CG7" s="143">
        <v>1856</v>
      </c>
      <c r="CH7" s="143">
        <v>1900</v>
      </c>
      <c r="CI7" s="143">
        <v>2107</v>
      </c>
      <c r="CJ7" s="143">
        <v>2165</v>
      </c>
      <c r="CK7" s="143">
        <v>2042</v>
      </c>
      <c r="CL7" s="143">
        <v>2286</v>
      </c>
      <c r="CM7" s="143">
        <v>2330</v>
      </c>
      <c r="CN7" s="143">
        <v>2315</v>
      </c>
      <c r="CO7" s="143">
        <v>2321</v>
      </c>
      <c r="CP7" s="143">
        <v>2194</v>
      </c>
      <c r="CQ7" s="143">
        <v>1955</v>
      </c>
      <c r="CR7" s="143">
        <v>1831</v>
      </c>
      <c r="CS7" s="143">
        <v>1738</v>
      </c>
      <c r="CT7" s="143">
        <v>1844</v>
      </c>
      <c r="CU7" s="143">
        <v>2102</v>
      </c>
      <c r="CV7" s="143">
        <v>2120</v>
      </c>
      <c r="CW7" s="143">
        <v>2038</v>
      </c>
      <c r="CX7" s="143">
        <v>2360</v>
      </c>
      <c r="CY7" s="143">
        <v>2575</v>
      </c>
      <c r="CZ7" s="143">
        <v>2612</v>
      </c>
      <c r="DA7" s="143">
        <v>2531</v>
      </c>
      <c r="DB7" s="143">
        <v>2367</v>
      </c>
      <c r="DC7" s="143">
        <v>2128</v>
      </c>
      <c r="DD7" s="143">
        <v>1936</v>
      </c>
      <c r="DE7" s="143">
        <v>1824</v>
      </c>
      <c r="DF7" s="143">
        <v>1957</v>
      </c>
      <c r="DG7" s="143">
        <v>2166</v>
      </c>
      <c r="DH7" s="143">
        <v>2194</v>
      </c>
      <c r="DI7" s="143">
        <v>2085</v>
      </c>
      <c r="DJ7" s="143">
        <v>2209</v>
      </c>
      <c r="DK7" s="143">
        <v>2317</v>
      </c>
      <c r="DL7" s="143">
        <v>2404</v>
      </c>
      <c r="DM7" s="143">
        <v>2300</v>
      </c>
      <c r="DN7" s="143">
        <v>2132</v>
      </c>
      <c r="DO7" s="143">
        <v>1903</v>
      </c>
      <c r="DP7" s="143">
        <v>1749</v>
      </c>
      <c r="DQ7" s="143">
        <v>1746</v>
      </c>
      <c r="DR7" s="143">
        <v>1835</v>
      </c>
      <c r="DS7" s="143">
        <v>1985</v>
      </c>
      <c r="DT7" s="143">
        <v>1980</v>
      </c>
      <c r="DU7" s="143">
        <v>1858</v>
      </c>
      <c r="DV7" s="143">
        <v>2004</v>
      </c>
      <c r="DW7" s="143">
        <v>2006</v>
      </c>
      <c r="DX7" s="143">
        <v>2073</v>
      </c>
      <c r="DY7" s="143">
        <v>2005</v>
      </c>
      <c r="DZ7" s="143">
        <v>1796</v>
      </c>
      <c r="EA7" s="143">
        <v>1648</v>
      </c>
      <c r="EB7" s="143">
        <v>1474</v>
      </c>
      <c r="EC7" s="143">
        <v>1491</v>
      </c>
      <c r="ED7" s="143">
        <v>1573</v>
      </c>
      <c r="EE7" s="143">
        <v>1716</v>
      </c>
      <c r="EF7" s="143">
        <v>1738</v>
      </c>
      <c r="EG7" s="143">
        <v>1665</v>
      </c>
      <c r="EH7" s="143">
        <v>1876</v>
      </c>
      <c r="EI7" s="143">
        <v>1950</v>
      </c>
      <c r="EJ7" s="143">
        <v>1982</v>
      </c>
      <c r="EK7" s="143">
        <v>1892</v>
      </c>
      <c r="EL7" s="143">
        <v>1774</v>
      </c>
      <c r="EM7" s="143">
        <v>1556</v>
      </c>
      <c r="EN7" s="143">
        <v>1300</v>
      </c>
      <c r="EO7" s="143">
        <v>1240</v>
      </c>
      <c r="EP7" s="143">
        <v>1261</v>
      </c>
      <c r="EQ7" s="143">
        <v>1376</v>
      </c>
      <c r="ER7" s="143">
        <v>1372</v>
      </c>
      <c r="ES7" s="143">
        <v>1259</v>
      </c>
      <c r="ET7" s="143">
        <v>1233</v>
      </c>
      <c r="EU7" s="143">
        <v>1179</v>
      </c>
      <c r="EV7" s="143">
        <v>1318</v>
      </c>
      <c r="EW7" s="143">
        <v>1319</v>
      </c>
      <c r="EX7" s="143">
        <v>1205</v>
      </c>
      <c r="EY7" s="143">
        <v>1019</v>
      </c>
      <c r="EZ7" s="143">
        <v>914</v>
      </c>
      <c r="FA7" s="143">
        <v>864</v>
      </c>
      <c r="FB7" s="143">
        <v>924</v>
      </c>
      <c r="FC7" s="143">
        <v>884</v>
      </c>
      <c r="FD7" s="143">
        <v>750</v>
      </c>
      <c r="FE7" s="143">
        <v>586</v>
      </c>
      <c r="FF7" s="143">
        <v>481</v>
      </c>
      <c r="FG7" s="143">
        <v>414</v>
      </c>
      <c r="FH7" s="143">
        <v>411</v>
      </c>
      <c r="FI7" s="143">
        <v>486</v>
      </c>
      <c r="FJ7" s="143">
        <v>469</v>
      </c>
      <c r="FK7" s="143">
        <v>504</v>
      </c>
      <c r="FL7" s="143">
        <v>538</v>
      </c>
      <c r="FM7" s="143">
        <v>524</v>
      </c>
      <c r="FN7" s="143">
        <v>548</v>
      </c>
      <c r="FO7" s="143">
        <v>498</v>
      </c>
      <c r="FP7" s="143">
        <v>430</v>
      </c>
      <c r="FQ7" s="143">
        <v>356</v>
      </c>
      <c r="FR7" s="143">
        <v>306</v>
      </c>
      <c r="FS7" s="143">
        <v>312</v>
      </c>
      <c r="FT7" s="143">
        <v>346</v>
      </c>
      <c r="FU7" s="143">
        <v>450</v>
      </c>
      <c r="FV7" s="143">
        <v>685</v>
      </c>
      <c r="FW7" s="143">
        <v>958</v>
      </c>
      <c r="FX7" s="143">
        <v>1091</v>
      </c>
      <c r="FY7" s="143">
        <v>1054</v>
      </c>
      <c r="FZ7" s="143">
        <v>1152</v>
      </c>
      <c r="GA7" s="143">
        <v>1203</v>
      </c>
      <c r="GB7" s="143">
        <v>1126</v>
      </c>
      <c r="GC7" s="143">
        <v>954</v>
      </c>
      <c r="GD7" s="143">
        <v>1097</v>
      </c>
      <c r="GE7" s="143">
        <v>1072</v>
      </c>
      <c r="GF7" s="143">
        <v>1057</v>
      </c>
      <c r="GG7" s="143">
        <v>979</v>
      </c>
      <c r="GH7" s="143">
        <v>911</v>
      </c>
      <c r="GI7" s="143">
        <v>823</v>
      </c>
      <c r="GJ7" s="143">
        <v>829</v>
      </c>
      <c r="GK7" s="143">
        <v>849</v>
      </c>
      <c r="GL7" s="143">
        <v>940</v>
      </c>
      <c r="GM7" s="143">
        <v>1106</v>
      </c>
      <c r="GN7" s="143">
        <v>1105</v>
      </c>
      <c r="GO7" s="143">
        <v>966</v>
      </c>
      <c r="GP7" s="143">
        <v>1178</v>
      </c>
      <c r="GQ7" s="143">
        <v>1240</v>
      </c>
      <c r="GR7" s="143">
        <v>1234</v>
      </c>
      <c r="GS7" s="143">
        <f>SUM(GG7:GR7)/12</f>
        <v>1013.3333333333334</v>
      </c>
      <c r="GT7" s="152"/>
      <c r="GU7" s="12" t="s">
        <v>29</v>
      </c>
      <c r="GV7" s="145" t="s">
        <v>30</v>
      </c>
      <c r="GW7" s="145">
        <f t="shared" ref="GW7:JH7" si="0">(C7-B7)/B7</f>
        <v>3.057697420898697E-2</v>
      </c>
      <c r="GX7" s="145">
        <f t="shared" si="0"/>
        <v>1.9091847265221878E-2</v>
      </c>
      <c r="GY7" s="145">
        <f t="shared" si="0"/>
        <v>-5.2405063291139239E-2</v>
      </c>
      <c r="GZ7" s="145">
        <f t="shared" si="0"/>
        <v>0.10980496927598184</v>
      </c>
      <c r="HA7" s="145">
        <f t="shared" si="0"/>
        <v>2.4073182474723159E-2</v>
      </c>
      <c r="HB7" s="145">
        <f t="shared" si="0"/>
        <v>1.1753643629525154E-2</v>
      </c>
      <c r="HC7" s="145">
        <f t="shared" si="0"/>
        <v>-1.2778810408921933E-2</v>
      </c>
      <c r="HD7" s="145">
        <f t="shared" si="0"/>
        <v>-4.3775005883737353E-2</v>
      </c>
      <c r="HE7" s="145">
        <f t="shared" si="0"/>
        <v>-3.0027073590942654E-2</v>
      </c>
      <c r="HF7" s="145">
        <f t="shared" si="0"/>
        <v>-1.7508246637909161E-2</v>
      </c>
      <c r="HG7" s="145">
        <f t="shared" si="0"/>
        <v>-8.5227272727272721E-3</v>
      </c>
      <c r="HH7" s="145">
        <f t="shared" si="0"/>
        <v>0</v>
      </c>
      <c r="HI7" s="145">
        <f t="shared" si="0"/>
        <v>3.386298515238343E-2</v>
      </c>
      <c r="HJ7" s="145">
        <f t="shared" si="0"/>
        <v>2.5951121189216428E-2</v>
      </c>
      <c r="HK7" s="145">
        <f t="shared" si="0"/>
        <v>-6.925343811394892E-2</v>
      </c>
      <c r="HL7" s="145">
        <f t="shared" si="0"/>
        <v>4.5910290237467018E-2</v>
      </c>
      <c r="HM7" s="145">
        <f t="shared" si="0"/>
        <v>1.0847628657921292E-2</v>
      </c>
      <c r="HN7" s="145">
        <f t="shared" si="0"/>
        <v>-1.8467681557274768E-2</v>
      </c>
      <c r="HO7" s="145">
        <f t="shared" si="0"/>
        <v>-6.9158403254513098E-2</v>
      </c>
      <c r="HP7" s="145">
        <f t="shared" si="0"/>
        <v>-0.11936629336246928</v>
      </c>
      <c r="HQ7" s="145">
        <f t="shared" si="0"/>
        <v>-9.8325062034739452E-2</v>
      </c>
      <c r="HR7" s="145">
        <f t="shared" si="0"/>
        <v>-4.2999656002751976E-2</v>
      </c>
      <c r="HS7" s="145">
        <f t="shared" si="0"/>
        <v>-1.0783608914450037E-2</v>
      </c>
      <c r="HT7" s="145">
        <f t="shared" si="0"/>
        <v>2.7979651162790699E-2</v>
      </c>
      <c r="HU7" s="145">
        <f t="shared" si="0"/>
        <v>3.1106398020501944E-2</v>
      </c>
      <c r="HV7" s="145">
        <f t="shared" si="0"/>
        <v>-2.3997257456290708E-3</v>
      </c>
      <c r="HW7" s="145">
        <f t="shared" si="0"/>
        <v>-5.3264604810996562E-2</v>
      </c>
      <c r="HX7" s="145">
        <f t="shared" si="0"/>
        <v>6.2431941923774957E-2</v>
      </c>
      <c r="HY7" s="145">
        <f t="shared" si="0"/>
        <v>-1.0249402118209772E-3</v>
      </c>
      <c r="HZ7" s="145">
        <f t="shared" si="0"/>
        <v>-9.575923392612859E-3</v>
      </c>
      <c r="IA7" s="145">
        <f t="shared" si="0"/>
        <v>-3.5566298342541436E-2</v>
      </c>
      <c r="IB7" s="145">
        <f t="shared" si="0"/>
        <v>-5.0125313283208017E-2</v>
      </c>
      <c r="IC7" s="145">
        <f t="shared" si="0"/>
        <v>-3.6562382208820202E-2</v>
      </c>
      <c r="ID7" s="145">
        <f t="shared" si="0"/>
        <v>4.6948356807511738E-3</v>
      </c>
      <c r="IE7" s="145">
        <f t="shared" si="0"/>
        <v>7.7881619937694704E-3</v>
      </c>
      <c r="IF7" s="145">
        <f t="shared" si="0"/>
        <v>5.2936630602782073E-2</v>
      </c>
      <c r="IG7" s="145">
        <f t="shared" si="0"/>
        <v>-2.5688073394495412E-3</v>
      </c>
      <c r="IH7" s="145">
        <f t="shared" si="0"/>
        <v>-8.0941869021339229E-3</v>
      </c>
      <c r="II7" s="145">
        <f t="shared" si="0"/>
        <v>-4.1172106824925815E-2</v>
      </c>
      <c r="IJ7" s="145">
        <f t="shared" si="0"/>
        <v>2.3210831721470018E-3</v>
      </c>
      <c r="IK7" s="145">
        <f t="shared" si="0"/>
        <v>-3.9752991123118489E-2</v>
      </c>
      <c r="IL7" s="145">
        <f t="shared" si="0"/>
        <v>-6.2700964630225078E-2</v>
      </c>
      <c r="IM7" s="145">
        <f t="shared" si="0"/>
        <v>-7.0754716981132074E-2</v>
      </c>
      <c r="IN7" s="145">
        <f t="shared" si="0"/>
        <v>-0.11952007383479464</v>
      </c>
      <c r="IO7" s="145">
        <f t="shared" si="0"/>
        <v>-9.1194968553459113E-2</v>
      </c>
      <c r="IP7" s="145">
        <f t="shared" si="0"/>
        <v>-5.536332179930796E-2</v>
      </c>
      <c r="IQ7" s="145">
        <f t="shared" si="0"/>
        <v>-2.5030525030525032E-2</v>
      </c>
      <c r="IR7" s="145">
        <f t="shared" si="0"/>
        <v>2.6925485284909206E-2</v>
      </c>
      <c r="IS7" s="145">
        <f t="shared" si="0"/>
        <v>8.2926829268292687E-2</v>
      </c>
      <c r="IT7" s="145">
        <f t="shared" si="0"/>
        <v>3.3783783783783786E-3</v>
      </c>
      <c r="IU7" s="145">
        <f t="shared" si="0"/>
        <v>-5.6116722783389451E-2</v>
      </c>
      <c r="IV7" s="145">
        <f t="shared" si="0"/>
        <v>4.3995243757431628E-2</v>
      </c>
      <c r="IW7" s="145">
        <f t="shared" si="0"/>
        <v>-2.2779043280182234E-2</v>
      </c>
      <c r="IX7" s="145">
        <f t="shared" si="0"/>
        <v>-6.5268065268065265E-2</v>
      </c>
      <c r="IY7" s="145">
        <f t="shared" si="0"/>
        <v>-0.10536159600997506</v>
      </c>
      <c r="IZ7" s="145">
        <f t="shared" si="0"/>
        <v>-5.2961672473867599E-2</v>
      </c>
      <c r="JA7" s="145">
        <f t="shared" si="0"/>
        <v>-4.4885945548197206E-2</v>
      </c>
      <c r="JB7" s="145">
        <f t="shared" si="0"/>
        <v>-2.2342064714946069E-2</v>
      </c>
      <c r="JC7" s="145">
        <f t="shared" si="0"/>
        <v>-1.260835303388495E-2</v>
      </c>
      <c r="JD7" s="145">
        <f t="shared" si="0"/>
        <v>5.3471667996807665E-2</v>
      </c>
      <c r="JE7" s="145">
        <f t="shared" si="0"/>
        <v>0.12424242424242424</v>
      </c>
      <c r="JF7" s="145">
        <f t="shared" si="0"/>
        <v>5.6603773584905662E-2</v>
      </c>
      <c r="JG7" s="145">
        <f t="shared" si="0"/>
        <v>-7.1428571428571425E-2</v>
      </c>
      <c r="JH7" s="145">
        <f t="shared" si="0"/>
        <v>6.9368131868131871E-2</v>
      </c>
      <c r="JI7" s="145">
        <f t="shared" ref="JI7:LT11" si="1">(BO7-BN7)/BN7</f>
        <v>1.0918432883750802E-2</v>
      </c>
      <c r="JJ7" s="145">
        <f t="shared" si="1"/>
        <v>2.8589580686149935E-2</v>
      </c>
      <c r="JK7" s="145">
        <f t="shared" si="1"/>
        <v>-5.6207535515750466E-2</v>
      </c>
      <c r="JL7" s="145">
        <f t="shared" si="1"/>
        <v>-4.253926701570681E-2</v>
      </c>
      <c r="JM7" s="145">
        <f t="shared" si="1"/>
        <v>-7.792207792207792E-2</v>
      </c>
      <c r="JN7" s="145">
        <f t="shared" si="1"/>
        <v>-5.9303187546330613E-3</v>
      </c>
      <c r="JO7" s="145">
        <f t="shared" si="1"/>
        <v>6.7114093959731544E-2</v>
      </c>
      <c r="JP7" s="145">
        <f t="shared" si="1"/>
        <v>0.12368972746331237</v>
      </c>
      <c r="JQ7" s="145">
        <f t="shared" si="1"/>
        <v>0.19713930348258707</v>
      </c>
      <c r="JR7" s="145">
        <f t="shared" si="1"/>
        <v>1.1428571428571429E-2</v>
      </c>
      <c r="JS7" s="145">
        <f t="shared" si="1"/>
        <v>-2.9789419619928096E-2</v>
      </c>
      <c r="JT7" s="145">
        <f t="shared" si="1"/>
        <v>0.18740074113287453</v>
      </c>
      <c r="JU7" s="145">
        <f t="shared" si="1"/>
        <v>5.0378956754346858E-2</v>
      </c>
      <c r="JV7" s="145">
        <f t="shared" si="1"/>
        <v>1.8675721561969439E-2</v>
      </c>
      <c r="JW7" s="145">
        <f t="shared" si="1"/>
        <v>-1.1666666666666667E-2</v>
      </c>
      <c r="JX7" s="145">
        <f t="shared" si="1"/>
        <v>-3.6256323777403038E-2</v>
      </c>
      <c r="JY7" s="145">
        <f t="shared" si="1"/>
        <v>-0.10454943132108487</v>
      </c>
      <c r="JZ7" s="145">
        <f t="shared" si="1"/>
        <v>-6.204201270151441E-2</v>
      </c>
      <c r="KA7" s="145">
        <f t="shared" si="1"/>
        <v>-3.3333333333333333E-2</v>
      </c>
      <c r="KB7" s="145">
        <f t="shared" si="1"/>
        <v>2.3706896551724137E-2</v>
      </c>
      <c r="KC7" s="145">
        <f t="shared" si="1"/>
        <v>0.10894736842105263</v>
      </c>
      <c r="KD7" s="145">
        <f t="shared" si="1"/>
        <v>2.7527289985761746E-2</v>
      </c>
      <c r="KE7" s="145">
        <f t="shared" si="1"/>
        <v>-5.6812933025404154E-2</v>
      </c>
      <c r="KF7" s="145">
        <f t="shared" si="1"/>
        <v>0.11949069539666993</v>
      </c>
      <c r="KG7" s="145">
        <f t="shared" si="1"/>
        <v>1.9247594050743656E-2</v>
      </c>
      <c r="KH7" s="145">
        <f t="shared" si="1"/>
        <v>-6.4377682403433476E-3</v>
      </c>
      <c r="KI7" s="145">
        <f t="shared" si="1"/>
        <v>2.5917926565874731E-3</v>
      </c>
      <c r="KJ7" s="145">
        <f t="shared" si="1"/>
        <v>-5.4717794054286943E-2</v>
      </c>
      <c r="KK7" s="145">
        <f t="shared" si="1"/>
        <v>-0.10893345487693711</v>
      </c>
      <c r="KL7" s="145">
        <f t="shared" si="1"/>
        <v>-6.342710997442455E-2</v>
      </c>
      <c r="KM7" s="145">
        <f t="shared" si="1"/>
        <v>-5.0791916985253961E-2</v>
      </c>
      <c r="KN7" s="145">
        <f t="shared" si="1"/>
        <v>6.0989643268124283E-2</v>
      </c>
      <c r="KO7" s="145">
        <f t="shared" si="1"/>
        <v>0.13991323210412149</v>
      </c>
      <c r="KP7" s="145">
        <f t="shared" si="1"/>
        <v>8.5632730732635581E-3</v>
      </c>
      <c r="KQ7" s="145">
        <f t="shared" si="1"/>
        <v>-3.8679245283018866E-2</v>
      </c>
      <c r="KR7" s="145">
        <f t="shared" si="1"/>
        <v>0.15799803729146222</v>
      </c>
      <c r="KS7" s="145">
        <f t="shared" si="1"/>
        <v>9.110169491525423E-2</v>
      </c>
      <c r="KT7" s="145">
        <f t="shared" si="1"/>
        <v>1.4368932038834952E-2</v>
      </c>
      <c r="KU7" s="145">
        <f t="shared" si="1"/>
        <v>-3.1010719754977028E-2</v>
      </c>
      <c r="KV7" s="145">
        <f t="shared" si="1"/>
        <v>-6.4796523113393914E-2</v>
      </c>
      <c r="KW7" s="145">
        <f t="shared" si="1"/>
        <v>-0.10097169412758766</v>
      </c>
      <c r="KX7" s="145">
        <f t="shared" si="1"/>
        <v>-9.0225563909774431E-2</v>
      </c>
      <c r="KY7" s="145">
        <f t="shared" si="1"/>
        <v>-5.7851239669421489E-2</v>
      </c>
      <c r="KZ7" s="145">
        <f t="shared" si="1"/>
        <v>7.2916666666666671E-2</v>
      </c>
      <c r="LA7" s="145">
        <f t="shared" si="1"/>
        <v>0.10679611650485436</v>
      </c>
      <c r="LB7" s="145">
        <f t="shared" si="1"/>
        <v>1.2927054478301015E-2</v>
      </c>
      <c r="LC7" s="145">
        <f t="shared" si="1"/>
        <v>-4.9680948040109391E-2</v>
      </c>
      <c r="LD7" s="145">
        <f t="shared" si="1"/>
        <v>5.9472422062350122E-2</v>
      </c>
      <c r="LE7" s="145">
        <f t="shared" si="1"/>
        <v>4.88909008601177E-2</v>
      </c>
      <c r="LF7" s="145">
        <f t="shared" si="1"/>
        <v>3.7548554164868367E-2</v>
      </c>
      <c r="LG7" s="145">
        <f t="shared" si="1"/>
        <v>-4.3261231281198007E-2</v>
      </c>
      <c r="LH7" s="145">
        <f t="shared" si="1"/>
        <v>-7.3043478260869571E-2</v>
      </c>
      <c r="LI7" s="145">
        <f t="shared" si="1"/>
        <v>-0.10741088180112571</v>
      </c>
      <c r="LJ7" s="145">
        <f t="shared" si="1"/>
        <v>-8.0924855491329481E-2</v>
      </c>
      <c r="LK7" s="145">
        <f t="shared" si="1"/>
        <v>-1.7152658662092624E-3</v>
      </c>
      <c r="LL7" s="145">
        <f t="shared" si="1"/>
        <v>5.0973654066437571E-2</v>
      </c>
      <c r="LM7" s="145">
        <f t="shared" si="1"/>
        <v>8.1743869209809264E-2</v>
      </c>
      <c r="LN7" s="145">
        <f t="shared" si="1"/>
        <v>-2.5188916876574307E-3</v>
      </c>
      <c r="LO7" s="145">
        <f t="shared" si="1"/>
        <v>-6.1616161616161617E-2</v>
      </c>
      <c r="LP7" s="145">
        <f t="shared" si="1"/>
        <v>7.8579117330462869E-2</v>
      </c>
      <c r="LQ7" s="145">
        <f t="shared" si="1"/>
        <v>9.9800399201596798E-4</v>
      </c>
      <c r="LR7" s="145">
        <f t="shared" si="1"/>
        <v>3.3399800598205381E-2</v>
      </c>
      <c r="LS7" s="145">
        <f t="shared" si="1"/>
        <v>-3.2802701398938733E-2</v>
      </c>
      <c r="LT7" s="145">
        <f t="shared" si="1"/>
        <v>-0.10423940149625935</v>
      </c>
      <c r="LU7" s="145">
        <f t="shared" ref="LU7:MR11" si="2">(EA7-DZ7)/DZ7</f>
        <v>-8.2405345211581285E-2</v>
      </c>
      <c r="LV7" s="145">
        <f t="shared" si="2"/>
        <v>-0.10558252427184465</v>
      </c>
      <c r="LW7" s="145">
        <f t="shared" si="2"/>
        <v>1.1533242876526458E-2</v>
      </c>
      <c r="LX7" s="145">
        <f t="shared" si="2"/>
        <v>5.4996646545942322E-2</v>
      </c>
      <c r="LY7" s="145">
        <f t="shared" si="2"/>
        <v>9.0909090909090912E-2</v>
      </c>
      <c r="LZ7" s="145">
        <f t="shared" si="2"/>
        <v>1.282051282051282E-2</v>
      </c>
      <c r="MA7" s="145">
        <f t="shared" si="2"/>
        <v>-4.200230149597238E-2</v>
      </c>
      <c r="MB7" s="145">
        <f t="shared" si="2"/>
        <v>0.12672672672672672</v>
      </c>
      <c r="MC7" s="145">
        <f t="shared" si="2"/>
        <v>3.9445628997867806E-2</v>
      </c>
      <c r="MD7" s="145">
        <f t="shared" si="2"/>
        <v>1.641025641025641E-2</v>
      </c>
      <c r="ME7" s="145">
        <f t="shared" si="2"/>
        <v>-4.5408678102926335E-2</v>
      </c>
      <c r="MF7" s="145">
        <f t="shared" si="2"/>
        <v>-6.2367864693446087E-2</v>
      </c>
      <c r="MG7" s="145">
        <f t="shared" si="2"/>
        <v>-0.12288613303269448</v>
      </c>
      <c r="MH7" s="145">
        <f t="shared" si="2"/>
        <v>-0.16452442159383032</v>
      </c>
      <c r="MI7" s="145">
        <f t="shared" si="2"/>
        <v>-4.6153846153846156E-2</v>
      </c>
      <c r="MJ7" s="145">
        <f t="shared" si="2"/>
        <v>1.6935483870967744E-2</v>
      </c>
      <c r="MK7" s="145">
        <f t="shared" si="2"/>
        <v>9.1197462331482945E-2</v>
      </c>
      <c r="ML7" s="145">
        <f t="shared" si="2"/>
        <v>-2.9069767441860465E-3</v>
      </c>
      <c r="MM7" s="145">
        <f t="shared" si="2"/>
        <v>-8.2361516034985427E-2</v>
      </c>
      <c r="MN7" s="145">
        <f t="shared" si="2"/>
        <v>-2.0651310563939634E-2</v>
      </c>
      <c r="MO7" s="145">
        <f t="shared" si="2"/>
        <v>-4.3795620437956206E-2</v>
      </c>
      <c r="MP7" s="145">
        <f t="shared" si="2"/>
        <v>0.11789652247667515</v>
      </c>
      <c r="MQ7" s="145">
        <f t="shared" si="2"/>
        <v>7.5872534142640367E-4</v>
      </c>
      <c r="MR7" s="145">
        <f t="shared" si="2"/>
        <v>-8.642911296436695E-2</v>
      </c>
      <c r="MS7" s="145">
        <f>(EZ7-EY7)/EY7</f>
        <v>-0.10304219823356231</v>
      </c>
      <c r="MT7" s="145">
        <f t="shared" ref="MT7:NI11" si="3">(EZ7-EY7)/EZ7</f>
        <v>-0.11487964989059081</v>
      </c>
      <c r="MU7" s="145">
        <f t="shared" si="3"/>
        <v>-5.7870370370370371E-2</v>
      </c>
      <c r="MV7" s="145">
        <f t="shared" si="3"/>
        <v>6.4935064935064929E-2</v>
      </c>
      <c r="MW7" s="145">
        <f t="shared" si="3"/>
        <v>-4.5248868778280542E-2</v>
      </c>
      <c r="MX7" s="145">
        <f t="shared" si="3"/>
        <v>-0.17866666666666667</v>
      </c>
      <c r="MY7" s="145">
        <f t="shared" si="3"/>
        <v>-0.27986348122866894</v>
      </c>
      <c r="MZ7" s="145">
        <f t="shared" si="3"/>
        <v>-0.21829521829521831</v>
      </c>
      <c r="NA7" s="145">
        <f t="shared" si="3"/>
        <v>-0.16183574879227053</v>
      </c>
      <c r="NB7" s="145">
        <f t="shared" si="3"/>
        <v>-7.2992700729927005E-3</v>
      </c>
      <c r="NC7" s="145">
        <f t="shared" si="3"/>
        <v>0.15432098765432098</v>
      </c>
      <c r="ND7" s="145">
        <f t="shared" si="3"/>
        <v>-3.6247334754797439E-2</v>
      </c>
      <c r="NE7" s="145">
        <f t="shared" si="3"/>
        <v>6.9444444444444448E-2</v>
      </c>
      <c r="NF7" s="145">
        <f t="shared" si="3"/>
        <v>6.3197026022304828E-2</v>
      </c>
      <c r="NG7" s="145">
        <f t="shared" si="3"/>
        <v>-2.6717557251908396E-2</v>
      </c>
      <c r="NH7" s="145">
        <f t="shared" si="3"/>
        <v>4.3795620437956206E-2</v>
      </c>
      <c r="NI7" s="145">
        <f t="shared" si="3"/>
        <v>-0.10040160642570281</v>
      </c>
      <c r="NJ7" s="145">
        <f t="shared" ref="NJ7:NY11" si="4">(FP7-FO7)/FP7</f>
        <v>-0.15813953488372093</v>
      </c>
      <c r="NK7" s="145">
        <f t="shared" si="4"/>
        <v>-0.20786516853932585</v>
      </c>
      <c r="NL7" s="145">
        <f t="shared" si="4"/>
        <v>-0.16339869281045752</v>
      </c>
      <c r="NM7" s="145">
        <f t="shared" si="4"/>
        <v>1.9230769230769232E-2</v>
      </c>
      <c r="NN7" s="145">
        <f t="shared" si="4"/>
        <v>9.8265895953757232E-2</v>
      </c>
      <c r="NO7" s="145">
        <f t="shared" si="4"/>
        <v>0.2311111111111111</v>
      </c>
      <c r="NP7" s="145">
        <f t="shared" si="4"/>
        <v>0.34306569343065696</v>
      </c>
      <c r="NQ7" s="145">
        <f t="shared" si="4"/>
        <v>0.28496868475991649</v>
      </c>
      <c r="NR7" s="145">
        <f t="shared" si="4"/>
        <v>0.12190650779101742</v>
      </c>
      <c r="NS7" s="145">
        <f t="shared" si="4"/>
        <v>-3.510436432637571E-2</v>
      </c>
      <c r="NT7" s="145">
        <f t="shared" si="4"/>
        <v>8.5069444444444448E-2</v>
      </c>
      <c r="NU7" s="145">
        <f t="shared" si="4"/>
        <v>4.2394014962593519E-2</v>
      </c>
      <c r="NV7" s="145">
        <f t="shared" si="4"/>
        <v>-6.8383658969804612E-2</v>
      </c>
      <c r="NW7" s="145">
        <f t="shared" si="4"/>
        <v>-0.18029350104821804</v>
      </c>
      <c r="NX7" s="145">
        <f t="shared" si="4"/>
        <v>0.13035551504102097</v>
      </c>
      <c r="NY7" s="145">
        <f t="shared" si="4"/>
        <v>-2.3320895522388061E-2</v>
      </c>
      <c r="NZ7" s="145">
        <f t="shared" ref="NX7:OL11" si="5">(GF7-GE7)/GF7</f>
        <v>-1.4191106906338695E-2</v>
      </c>
      <c r="OA7" s="145">
        <f t="shared" si="5"/>
        <v>-7.9673135852911137E-2</v>
      </c>
      <c r="OB7" s="145">
        <f t="shared" si="5"/>
        <v>-7.4643249176728863E-2</v>
      </c>
      <c r="OC7" s="145">
        <f t="shared" si="5"/>
        <v>-0.10692588092345079</v>
      </c>
      <c r="OD7" s="145">
        <f t="shared" si="5"/>
        <v>7.2376357056694813E-3</v>
      </c>
      <c r="OE7" s="145">
        <f t="shared" si="5"/>
        <v>2.3557126030624265E-2</v>
      </c>
      <c r="OF7" s="145">
        <f t="shared" si="5"/>
        <v>9.6808510638297873E-2</v>
      </c>
      <c r="OG7" s="145">
        <f t="shared" si="5"/>
        <v>0.15009041591320071</v>
      </c>
      <c r="OH7" s="145">
        <f t="shared" si="5"/>
        <v>-9.049773755656109E-4</v>
      </c>
      <c r="OI7" s="145">
        <f t="shared" si="5"/>
        <v>-0.14389233954451347</v>
      </c>
      <c r="OJ7" s="145">
        <f t="shared" si="5"/>
        <v>0.17996604414261461</v>
      </c>
      <c r="OK7" s="145">
        <f t="shared" si="5"/>
        <v>0.05</v>
      </c>
      <c r="OL7" s="145">
        <f t="shared" si="5"/>
        <v>-4.8622366288492711E-3</v>
      </c>
    </row>
    <row r="8" spans="1:402" s="145" customFormat="1" ht="19.5" customHeight="1" x14ac:dyDescent="0.35">
      <c r="A8" s="12" t="s">
        <v>31</v>
      </c>
      <c r="B8" s="156"/>
      <c r="C8" s="156"/>
      <c r="D8" s="156"/>
      <c r="E8" s="156"/>
      <c r="F8" s="156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>
        <v>297</v>
      </c>
      <c r="DK8" s="143">
        <v>315</v>
      </c>
      <c r="DL8" s="143">
        <v>350</v>
      </c>
      <c r="DM8" s="143">
        <v>354</v>
      </c>
      <c r="DN8" s="143">
        <v>315</v>
      </c>
      <c r="DO8" s="143">
        <v>279</v>
      </c>
      <c r="DP8" s="143">
        <v>280</v>
      </c>
      <c r="DQ8" s="143">
        <v>242</v>
      </c>
      <c r="DR8" s="143">
        <v>272</v>
      </c>
      <c r="DS8" s="143">
        <v>277</v>
      </c>
      <c r="DT8" s="143">
        <v>269</v>
      </c>
      <c r="DU8" s="143">
        <v>222</v>
      </c>
      <c r="DV8" s="143">
        <v>298</v>
      </c>
      <c r="DW8" s="143">
        <v>328</v>
      </c>
      <c r="DX8" s="143">
        <v>337</v>
      </c>
      <c r="DY8" s="143">
        <v>390</v>
      </c>
      <c r="DZ8" s="143">
        <v>357</v>
      </c>
      <c r="EA8" s="143">
        <v>284</v>
      </c>
      <c r="EB8" s="143">
        <v>239</v>
      </c>
      <c r="EC8" s="143">
        <v>222</v>
      </c>
      <c r="ED8" s="143">
        <v>207</v>
      </c>
      <c r="EE8" s="143">
        <v>244</v>
      </c>
      <c r="EF8" s="143">
        <v>218</v>
      </c>
      <c r="EG8" s="143">
        <v>175</v>
      </c>
      <c r="EH8" s="143">
        <v>279</v>
      </c>
      <c r="EI8" s="143">
        <v>278</v>
      </c>
      <c r="EJ8" s="143">
        <v>336</v>
      </c>
      <c r="EK8" s="143">
        <v>350</v>
      </c>
      <c r="EL8" s="143">
        <v>325</v>
      </c>
      <c r="EM8" s="143">
        <v>271</v>
      </c>
      <c r="EN8" s="143">
        <v>259</v>
      </c>
      <c r="EO8" s="143">
        <v>243</v>
      </c>
      <c r="EP8" s="143">
        <v>221</v>
      </c>
      <c r="EQ8" s="143">
        <v>246</v>
      </c>
      <c r="ER8" s="143">
        <v>251</v>
      </c>
      <c r="ES8" s="143">
        <v>183</v>
      </c>
      <c r="ET8" s="143">
        <v>299</v>
      </c>
      <c r="EU8" s="143">
        <v>344</v>
      </c>
      <c r="EV8" s="143">
        <v>209</v>
      </c>
      <c r="EW8" s="143">
        <v>202</v>
      </c>
      <c r="EX8" s="143">
        <v>325</v>
      </c>
      <c r="EY8" s="143">
        <v>358</v>
      </c>
      <c r="EZ8" s="143">
        <v>312</v>
      </c>
      <c r="FA8" s="143">
        <v>334</v>
      </c>
      <c r="FB8" s="143">
        <v>382</v>
      </c>
      <c r="FC8" s="143">
        <v>378</v>
      </c>
      <c r="FD8" s="143">
        <v>378</v>
      </c>
      <c r="FE8" s="143">
        <v>294</v>
      </c>
      <c r="FF8" s="143">
        <v>369</v>
      </c>
      <c r="FG8" s="143">
        <v>321</v>
      </c>
      <c r="FH8" s="143">
        <v>343</v>
      </c>
      <c r="FI8" s="143">
        <v>324</v>
      </c>
      <c r="FJ8" s="143">
        <v>300</v>
      </c>
      <c r="FK8" s="143">
        <v>278</v>
      </c>
      <c r="FL8" s="143">
        <v>281</v>
      </c>
      <c r="FM8" s="143">
        <v>280</v>
      </c>
      <c r="FN8" s="143">
        <v>245</v>
      </c>
      <c r="FO8" s="143">
        <v>281</v>
      </c>
      <c r="FP8" s="143">
        <v>263</v>
      </c>
      <c r="FQ8" s="143">
        <v>187</v>
      </c>
      <c r="FR8" s="143">
        <v>234</v>
      </c>
      <c r="FS8" s="143">
        <v>229</v>
      </c>
      <c r="FT8" s="143">
        <v>228</v>
      </c>
      <c r="FU8" s="143">
        <v>240</v>
      </c>
      <c r="FV8" s="143">
        <v>226</v>
      </c>
      <c r="FW8" s="143">
        <v>172</v>
      </c>
      <c r="FX8" s="143">
        <v>149</v>
      </c>
      <c r="FY8" s="143">
        <v>151</v>
      </c>
      <c r="FZ8" s="143">
        <v>145</v>
      </c>
      <c r="GA8" s="143">
        <v>128</v>
      </c>
      <c r="GB8" s="143">
        <v>112</v>
      </c>
      <c r="GC8" s="143">
        <v>104</v>
      </c>
      <c r="GD8" s="143">
        <v>161</v>
      </c>
      <c r="GE8" s="143">
        <v>201</v>
      </c>
      <c r="GF8" s="143">
        <v>193</v>
      </c>
      <c r="GG8" s="143">
        <v>235</v>
      </c>
      <c r="GH8" s="143">
        <v>203</v>
      </c>
      <c r="GI8" s="143">
        <v>176</v>
      </c>
      <c r="GJ8" s="143">
        <v>146</v>
      </c>
      <c r="GK8" s="143">
        <v>131</v>
      </c>
      <c r="GL8" s="143">
        <v>117</v>
      </c>
      <c r="GM8" s="143">
        <v>132</v>
      </c>
      <c r="GN8" s="143">
        <v>126</v>
      </c>
      <c r="GO8" s="143">
        <v>100</v>
      </c>
      <c r="GP8" s="143">
        <v>171</v>
      </c>
      <c r="GQ8" s="143">
        <v>216</v>
      </c>
      <c r="GR8" s="143">
        <v>245</v>
      </c>
      <c r="GS8" s="143">
        <f t="shared" ref="GS8:GS11" si="6">SUM(GG8:GR8)/12</f>
        <v>166.5</v>
      </c>
      <c r="GT8" s="152"/>
      <c r="GU8" s="12" t="s">
        <v>31</v>
      </c>
      <c r="LE8" s="145">
        <f t="shared" si="1"/>
        <v>6.0606060606060608E-2</v>
      </c>
      <c r="LF8" s="145">
        <f t="shared" si="1"/>
        <v>0.1111111111111111</v>
      </c>
      <c r="LG8" s="145">
        <f t="shared" si="1"/>
        <v>1.1428571428571429E-2</v>
      </c>
      <c r="LH8" s="145">
        <f t="shared" si="1"/>
        <v>-0.11016949152542373</v>
      </c>
      <c r="LI8" s="145">
        <f t="shared" si="1"/>
        <v>-0.11428571428571428</v>
      </c>
      <c r="LJ8" s="145">
        <f t="shared" si="1"/>
        <v>3.5842293906810036E-3</v>
      </c>
      <c r="LK8" s="145">
        <f t="shared" si="1"/>
        <v>-0.1357142857142857</v>
      </c>
      <c r="LL8" s="145">
        <f t="shared" si="1"/>
        <v>0.12396694214876033</v>
      </c>
      <c r="LM8" s="145">
        <f t="shared" si="1"/>
        <v>1.8382352941176471E-2</v>
      </c>
      <c r="LN8" s="145">
        <f t="shared" si="1"/>
        <v>-2.8880866425992781E-2</v>
      </c>
      <c r="LO8" s="145">
        <f t="shared" si="1"/>
        <v>-0.17472118959107807</v>
      </c>
      <c r="LP8" s="145">
        <f t="shared" si="1"/>
        <v>0.34234234234234234</v>
      </c>
      <c r="LQ8" s="145">
        <f t="shared" si="1"/>
        <v>0.10067114093959731</v>
      </c>
      <c r="LR8" s="145">
        <f t="shared" si="1"/>
        <v>2.7439024390243903E-2</v>
      </c>
      <c r="LS8" s="145">
        <f t="shared" si="1"/>
        <v>0.15727002967359049</v>
      </c>
      <c r="LT8" s="145">
        <f t="shared" si="1"/>
        <v>-8.461538461538462E-2</v>
      </c>
      <c r="LU8" s="145">
        <f t="shared" si="2"/>
        <v>-0.20448179271708683</v>
      </c>
      <c r="LV8" s="145">
        <f t="shared" si="2"/>
        <v>-0.15845070422535212</v>
      </c>
      <c r="LW8" s="145">
        <f t="shared" si="2"/>
        <v>-7.1129707112970716E-2</v>
      </c>
      <c r="LX8" s="145">
        <f t="shared" si="2"/>
        <v>-6.7567567567567571E-2</v>
      </c>
      <c r="LY8" s="145">
        <f t="shared" si="2"/>
        <v>0.17874396135265699</v>
      </c>
      <c r="LZ8" s="145">
        <f t="shared" si="2"/>
        <v>-0.10655737704918032</v>
      </c>
      <c r="MA8" s="145">
        <f t="shared" si="2"/>
        <v>-0.19724770642201836</v>
      </c>
      <c r="MB8" s="145">
        <f t="shared" si="2"/>
        <v>0.59428571428571431</v>
      </c>
      <c r="MC8" s="145">
        <f t="shared" si="2"/>
        <v>-3.5842293906810036E-3</v>
      </c>
      <c r="MD8" s="145">
        <f t="shared" si="2"/>
        <v>0.20863309352517986</v>
      </c>
      <c r="ME8" s="145">
        <f t="shared" si="2"/>
        <v>4.1666666666666664E-2</v>
      </c>
      <c r="MF8" s="145">
        <f t="shared" si="2"/>
        <v>-7.1428571428571425E-2</v>
      </c>
      <c r="MG8" s="145">
        <f t="shared" si="2"/>
        <v>-0.16615384615384615</v>
      </c>
      <c r="MH8" s="145">
        <f t="shared" si="2"/>
        <v>-4.4280442804428041E-2</v>
      </c>
      <c r="MI8" s="145">
        <f t="shared" si="2"/>
        <v>-6.1776061776061778E-2</v>
      </c>
      <c r="MJ8" s="145">
        <f t="shared" si="2"/>
        <v>-9.0534979423868317E-2</v>
      </c>
      <c r="MK8" s="145">
        <f t="shared" si="2"/>
        <v>0.11312217194570136</v>
      </c>
      <c r="ML8" s="145">
        <f t="shared" si="2"/>
        <v>2.032520325203252E-2</v>
      </c>
      <c r="MM8" s="145">
        <f t="shared" si="2"/>
        <v>-0.27091633466135456</v>
      </c>
      <c r="MN8" s="145">
        <f t="shared" si="2"/>
        <v>0.63387978142076506</v>
      </c>
      <c r="MO8" s="145">
        <f t="shared" si="2"/>
        <v>0.15050167224080269</v>
      </c>
      <c r="MP8" s="145">
        <f t="shared" si="2"/>
        <v>-0.39244186046511625</v>
      </c>
      <c r="MQ8" s="145">
        <f t="shared" si="2"/>
        <v>-3.3492822966507178E-2</v>
      </c>
      <c r="MR8" s="145">
        <f t="shared" si="2"/>
        <v>0.6089108910891089</v>
      </c>
      <c r="MS8" s="145">
        <f>(EZ8-EY8)/EY8</f>
        <v>-0.12849162011173185</v>
      </c>
      <c r="MT8" s="145">
        <f t="shared" si="3"/>
        <v>-0.14743589743589744</v>
      </c>
      <c r="MU8" s="145">
        <f t="shared" si="3"/>
        <v>6.5868263473053898E-2</v>
      </c>
      <c r="MV8" s="145">
        <f t="shared" si="3"/>
        <v>0.1256544502617801</v>
      </c>
      <c r="MW8" s="145">
        <f t="shared" si="3"/>
        <v>-1.0582010582010581E-2</v>
      </c>
      <c r="MX8" s="145">
        <f t="shared" si="3"/>
        <v>0</v>
      </c>
      <c r="MY8" s="145">
        <f t="shared" si="3"/>
        <v>-0.2857142857142857</v>
      </c>
      <c r="MZ8" s="145">
        <f t="shared" si="3"/>
        <v>0.2032520325203252</v>
      </c>
      <c r="NA8" s="145">
        <f t="shared" si="3"/>
        <v>-0.14953271028037382</v>
      </c>
      <c r="NB8" s="145">
        <f t="shared" si="3"/>
        <v>6.4139941690962099E-2</v>
      </c>
      <c r="NC8" s="145">
        <f t="shared" si="3"/>
        <v>-5.8641975308641972E-2</v>
      </c>
      <c r="ND8" s="145">
        <f t="shared" si="3"/>
        <v>-0.08</v>
      </c>
      <c r="NE8" s="145">
        <f t="shared" si="3"/>
        <v>-7.9136690647482008E-2</v>
      </c>
      <c r="NF8" s="145">
        <f t="shared" si="3"/>
        <v>1.0676156583629894E-2</v>
      </c>
      <c r="NG8" s="145">
        <f t="shared" si="3"/>
        <v>-3.5714285714285713E-3</v>
      </c>
      <c r="NH8" s="145">
        <f t="shared" si="3"/>
        <v>-0.14285714285714285</v>
      </c>
      <c r="NI8" s="145">
        <f t="shared" si="3"/>
        <v>0.12811387900355872</v>
      </c>
      <c r="NJ8" s="145">
        <f t="shared" si="4"/>
        <v>-6.8441064638783272E-2</v>
      </c>
      <c r="NK8" s="145">
        <f t="shared" si="4"/>
        <v>-0.40641711229946526</v>
      </c>
      <c r="NL8" s="145">
        <f t="shared" si="4"/>
        <v>0.20085470085470086</v>
      </c>
      <c r="NM8" s="145">
        <f t="shared" si="4"/>
        <v>-2.1834061135371178E-2</v>
      </c>
      <c r="NN8" s="145">
        <f t="shared" si="4"/>
        <v>-4.3859649122807015E-3</v>
      </c>
      <c r="NO8" s="145">
        <f t="shared" si="4"/>
        <v>0.05</v>
      </c>
      <c r="NP8" s="145">
        <f t="shared" si="4"/>
        <v>-6.1946902654867256E-2</v>
      </c>
      <c r="NQ8" s="145">
        <f t="shared" si="4"/>
        <v>-0.31395348837209303</v>
      </c>
      <c r="NR8" s="145">
        <f t="shared" si="4"/>
        <v>-0.15436241610738255</v>
      </c>
      <c r="NS8" s="145">
        <f t="shared" si="4"/>
        <v>1.3245033112582781E-2</v>
      </c>
      <c r="NT8" s="145">
        <f t="shared" si="4"/>
        <v>-4.1379310344827586E-2</v>
      </c>
      <c r="NU8" s="145">
        <f t="shared" si="4"/>
        <v>-0.1328125</v>
      </c>
      <c r="NV8" s="145">
        <f t="shared" si="4"/>
        <v>-0.14285714285714285</v>
      </c>
      <c r="NW8" s="145">
        <f t="shared" si="4"/>
        <v>-7.6923076923076927E-2</v>
      </c>
      <c r="NX8" s="145">
        <f t="shared" si="5"/>
        <v>0.35403726708074534</v>
      </c>
      <c r="NY8" s="145">
        <f t="shared" si="5"/>
        <v>0.19900497512437812</v>
      </c>
      <c r="NZ8" s="145">
        <f t="shared" si="5"/>
        <v>-4.145077720207254E-2</v>
      </c>
      <c r="OA8" s="145">
        <f t="shared" si="5"/>
        <v>0.17872340425531916</v>
      </c>
      <c r="OB8" s="145">
        <f t="shared" si="5"/>
        <v>-0.15763546798029557</v>
      </c>
      <c r="OC8" s="145">
        <f t="shared" si="5"/>
        <v>-0.15340909090909091</v>
      </c>
      <c r="OD8" s="145">
        <f t="shared" si="5"/>
        <v>-0.20547945205479451</v>
      </c>
      <c r="OE8" s="145">
        <f t="shared" si="5"/>
        <v>-0.11450381679389313</v>
      </c>
      <c r="OF8" s="145">
        <f t="shared" si="5"/>
        <v>-0.11965811965811966</v>
      </c>
      <c r="OG8" s="145">
        <f t="shared" si="5"/>
        <v>0.11363636363636363</v>
      </c>
      <c r="OH8" s="145">
        <f t="shared" si="5"/>
        <v>-4.7619047619047616E-2</v>
      </c>
      <c r="OI8" s="145">
        <f t="shared" si="5"/>
        <v>-0.26</v>
      </c>
      <c r="OJ8" s="145">
        <f t="shared" si="5"/>
        <v>0.41520467836257308</v>
      </c>
      <c r="OK8" s="145">
        <f t="shared" si="5"/>
        <v>0.20833333333333334</v>
      </c>
      <c r="OL8" s="145">
        <f t="shared" si="5"/>
        <v>0.11836734693877551</v>
      </c>
    </row>
    <row r="9" spans="1:402" s="145" customFormat="1" ht="19.5" customHeight="1" x14ac:dyDescent="0.35">
      <c r="A9" s="12" t="s">
        <v>32</v>
      </c>
      <c r="B9" s="156">
        <f>'[1]Sept 07'!C47</f>
        <v>251</v>
      </c>
      <c r="C9" s="156">
        <f>'[1]Oct 07'!C47</f>
        <v>150</v>
      </c>
      <c r="D9" s="156">
        <f>'[1]Nov 07'!C47</f>
        <v>235</v>
      </c>
      <c r="E9" s="156">
        <f>'[1]Dec 07'!C47</f>
        <v>191</v>
      </c>
      <c r="F9" s="156">
        <f>'[1]Jan 08'!C47</f>
        <v>262</v>
      </c>
      <c r="G9" s="143">
        <f>'[1]Feb 08'!C47</f>
        <v>287</v>
      </c>
      <c r="H9" s="143">
        <f>'[1]Mar 08'!C47</f>
        <v>312</v>
      </c>
      <c r="I9" s="143">
        <v>349</v>
      </c>
      <c r="J9" s="143">
        <f>'[1]May 08'!C47</f>
        <v>364</v>
      </c>
      <c r="K9" s="143">
        <f>'[1]Jun 08'!C47</f>
        <v>338</v>
      </c>
      <c r="L9" s="143">
        <f>'[1]Jul 08'!C47</f>
        <v>327</v>
      </c>
      <c r="M9" s="143">
        <f>'[1]Aug 08'!C47</f>
        <v>300</v>
      </c>
      <c r="N9" s="143">
        <v>297</v>
      </c>
      <c r="O9" s="143">
        <v>247</v>
      </c>
      <c r="P9" s="143">
        <v>259</v>
      </c>
      <c r="Q9" s="143">
        <v>212</v>
      </c>
      <c r="R9" s="143">
        <v>255</v>
      </c>
      <c r="S9" s="143">
        <v>287</v>
      </c>
      <c r="T9" s="143">
        <v>391</v>
      </c>
      <c r="U9" s="143">
        <v>487</v>
      </c>
      <c r="V9" s="143">
        <v>562</v>
      </c>
      <c r="W9" s="143">
        <v>574</v>
      </c>
      <c r="X9" s="143">
        <v>501</v>
      </c>
      <c r="Y9" s="143">
        <v>520</v>
      </c>
      <c r="Z9" s="143">
        <v>523</v>
      </c>
      <c r="AA9" s="143">
        <v>514</v>
      </c>
      <c r="AB9" s="143">
        <v>483</v>
      </c>
      <c r="AC9" s="143">
        <v>438</v>
      </c>
      <c r="AD9" s="143">
        <v>471</v>
      </c>
      <c r="AE9" s="143">
        <v>588</v>
      </c>
      <c r="AF9" s="143">
        <v>600</v>
      </c>
      <c r="AG9" s="143">
        <v>661</v>
      </c>
      <c r="AH9" s="143">
        <v>623</v>
      </c>
      <c r="AI9" s="143">
        <v>542</v>
      </c>
      <c r="AJ9" s="143">
        <v>465</v>
      </c>
      <c r="AK9" s="143">
        <v>441</v>
      </c>
      <c r="AL9" s="143">
        <v>448</v>
      </c>
      <c r="AM9" s="143">
        <v>482</v>
      </c>
      <c r="AN9" s="143">
        <v>477</v>
      </c>
      <c r="AO9" s="143">
        <v>430</v>
      </c>
      <c r="AP9" s="143">
        <v>485</v>
      </c>
      <c r="AQ9" s="143">
        <v>530</v>
      </c>
      <c r="AR9" s="143">
        <v>606</v>
      </c>
      <c r="AS9" s="143">
        <v>616</v>
      </c>
      <c r="AT9" s="143">
        <v>665</v>
      </c>
      <c r="AU9" s="143">
        <v>558</v>
      </c>
      <c r="AV9" s="143">
        <v>532</v>
      </c>
      <c r="AW9" s="143">
        <v>504</v>
      </c>
      <c r="AX9" s="143">
        <v>472</v>
      </c>
      <c r="AY9" s="143">
        <v>415</v>
      </c>
      <c r="AZ9" s="143">
        <v>449</v>
      </c>
      <c r="BA9" s="143">
        <v>393</v>
      </c>
      <c r="BB9" s="143">
        <v>462</v>
      </c>
      <c r="BC9" s="143">
        <v>551</v>
      </c>
      <c r="BD9" s="143">
        <v>557</v>
      </c>
      <c r="BE9" s="143">
        <v>617</v>
      </c>
      <c r="BF9" s="143">
        <v>527</v>
      </c>
      <c r="BG9" s="143">
        <v>506</v>
      </c>
      <c r="BH9" s="143">
        <v>473</v>
      </c>
      <c r="BI9" s="143">
        <v>440</v>
      </c>
      <c r="BJ9" s="143">
        <v>417</v>
      </c>
      <c r="BK9" s="143">
        <v>432</v>
      </c>
      <c r="BL9" s="143">
        <v>432</v>
      </c>
      <c r="BM9" s="143">
        <v>342</v>
      </c>
      <c r="BN9" s="143">
        <v>417</v>
      </c>
      <c r="BO9" s="143">
        <v>490</v>
      </c>
      <c r="BP9" s="143">
        <v>482</v>
      </c>
      <c r="BQ9" s="143">
        <v>523</v>
      </c>
      <c r="BR9" s="143">
        <v>484</v>
      </c>
      <c r="BS9" s="143">
        <v>453</v>
      </c>
      <c r="BT9" s="143">
        <v>355</v>
      </c>
      <c r="BU9" s="143">
        <v>333</v>
      </c>
      <c r="BV9" s="143">
        <v>300</v>
      </c>
      <c r="BW9" s="143">
        <v>298</v>
      </c>
      <c r="BX9" s="143">
        <v>290</v>
      </c>
      <c r="BY9" s="143">
        <v>236</v>
      </c>
      <c r="BZ9" s="143">
        <v>298</v>
      </c>
      <c r="CA9" s="143">
        <v>335</v>
      </c>
      <c r="CB9" s="143">
        <v>374</v>
      </c>
      <c r="CC9" s="143">
        <v>371</v>
      </c>
      <c r="CD9" s="143">
        <v>368</v>
      </c>
      <c r="CE9" s="143">
        <v>357</v>
      </c>
      <c r="CF9" s="143">
        <v>305</v>
      </c>
      <c r="CG9" s="143">
        <v>273</v>
      </c>
      <c r="CH9" s="143">
        <v>254</v>
      </c>
      <c r="CI9" s="143">
        <v>231</v>
      </c>
      <c r="CJ9" s="143">
        <v>282</v>
      </c>
      <c r="CK9" s="143">
        <v>210</v>
      </c>
      <c r="CL9" s="143">
        <v>247</v>
      </c>
      <c r="CM9" s="143">
        <v>320</v>
      </c>
      <c r="CN9" s="143">
        <v>394</v>
      </c>
      <c r="CO9" s="143">
        <v>372</v>
      </c>
      <c r="CP9" s="143">
        <v>350</v>
      </c>
      <c r="CQ9" s="143">
        <v>364</v>
      </c>
      <c r="CR9" s="143">
        <v>299</v>
      </c>
      <c r="CS9" s="143">
        <v>301</v>
      </c>
      <c r="CT9" s="143">
        <v>277</v>
      </c>
      <c r="CU9" s="143">
        <v>259</v>
      </c>
      <c r="CV9" s="143">
        <v>283</v>
      </c>
      <c r="CW9" s="143">
        <v>213</v>
      </c>
      <c r="CX9" s="143">
        <v>264</v>
      </c>
      <c r="CY9" s="143">
        <v>335</v>
      </c>
      <c r="CZ9" s="143">
        <v>366</v>
      </c>
      <c r="DA9" s="143">
        <v>372</v>
      </c>
      <c r="DB9" s="143">
        <v>380</v>
      </c>
      <c r="DC9" s="143">
        <v>309</v>
      </c>
      <c r="DD9" s="143">
        <v>317</v>
      </c>
      <c r="DE9" s="143">
        <v>288</v>
      </c>
      <c r="DF9" s="143">
        <v>273</v>
      </c>
      <c r="DG9" s="143">
        <v>268</v>
      </c>
      <c r="DH9" s="143">
        <v>250</v>
      </c>
      <c r="DI9" s="143">
        <v>224</v>
      </c>
      <c r="DJ9" s="143">
        <v>265</v>
      </c>
      <c r="DK9" s="143">
        <v>258</v>
      </c>
      <c r="DL9" s="143">
        <v>361</v>
      </c>
      <c r="DM9" s="143">
        <v>364</v>
      </c>
      <c r="DN9" s="143">
        <v>365</v>
      </c>
      <c r="DO9" s="143">
        <v>300</v>
      </c>
      <c r="DP9" s="143">
        <v>271</v>
      </c>
      <c r="DQ9" s="143">
        <v>256</v>
      </c>
      <c r="DR9" s="143">
        <v>248</v>
      </c>
      <c r="DS9" s="143">
        <v>262</v>
      </c>
      <c r="DT9" s="143">
        <v>275</v>
      </c>
      <c r="DU9" s="143">
        <v>235</v>
      </c>
      <c r="DV9" s="143">
        <v>293</v>
      </c>
      <c r="DW9" s="143">
        <v>353</v>
      </c>
      <c r="DX9" s="143">
        <v>356</v>
      </c>
      <c r="DY9" s="143">
        <v>340</v>
      </c>
      <c r="DZ9" s="143">
        <v>331</v>
      </c>
      <c r="EA9" s="143">
        <v>283</v>
      </c>
      <c r="EB9" s="143">
        <v>286</v>
      </c>
      <c r="EC9" s="143">
        <v>250</v>
      </c>
      <c r="ED9" s="143">
        <v>255</v>
      </c>
      <c r="EE9" s="143">
        <v>208</v>
      </c>
      <c r="EF9" s="143">
        <v>229</v>
      </c>
      <c r="EG9" s="143">
        <v>192</v>
      </c>
      <c r="EH9" s="143">
        <v>240</v>
      </c>
      <c r="EI9" s="143">
        <v>288</v>
      </c>
      <c r="EJ9" s="143">
        <v>332</v>
      </c>
      <c r="EK9" s="143">
        <v>366</v>
      </c>
      <c r="EL9" s="143">
        <v>340</v>
      </c>
      <c r="EM9" s="143">
        <v>299</v>
      </c>
      <c r="EN9" s="143">
        <v>271</v>
      </c>
      <c r="EO9" s="143">
        <v>271</v>
      </c>
      <c r="EP9" s="143">
        <v>263</v>
      </c>
      <c r="EQ9" s="143">
        <v>269</v>
      </c>
      <c r="ER9" s="143">
        <v>307</v>
      </c>
      <c r="ES9" s="143">
        <v>218</v>
      </c>
      <c r="ET9" s="143">
        <v>277</v>
      </c>
      <c r="EU9" s="143">
        <v>342</v>
      </c>
      <c r="EV9" s="143">
        <v>255</v>
      </c>
      <c r="EW9" s="143">
        <v>219</v>
      </c>
      <c r="EX9" s="143">
        <v>272</v>
      </c>
      <c r="EY9" s="143">
        <v>339</v>
      </c>
      <c r="EZ9" s="143">
        <v>333</v>
      </c>
      <c r="FA9" s="143">
        <v>356</v>
      </c>
      <c r="FB9" s="143">
        <v>342</v>
      </c>
      <c r="FC9" s="143">
        <v>382</v>
      </c>
      <c r="FD9" s="143">
        <v>399</v>
      </c>
      <c r="FE9" s="143">
        <v>315</v>
      </c>
      <c r="FF9" s="143">
        <v>391</v>
      </c>
      <c r="FG9" s="143">
        <v>425</v>
      </c>
      <c r="FH9" s="143">
        <v>426</v>
      </c>
      <c r="FI9" s="143">
        <v>418</v>
      </c>
      <c r="FJ9" s="143">
        <v>412</v>
      </c>
      <c r="FK9" s="143">
        <v>371</v>
      </c>
      <c r="FL9" s="143">
        <v>303</v>
      </c>
      <c r="FM9" s="143">
        <v>347</v>
      </c>
      <c r="FN9" s="143">
        <v>333</v>
      </c>
      <c r="FO9" s="143">
        <v>331</v>
      </c>
      <c r="FP9" s="143">
        <v>335</v>
      </c>
      <c r="FQ9" s="143">
        <v>280</v>
      </c>
      <c r="FR9" s="143">
        <v>341</v>
      </c>
      <c r="FS9" s="143">
        <v>371</v>
      </c>
      <c r="FT9" s="143">
        <v>384</v>
      </c>
      <c r="FU9" s="143">
        <v>379</v>
      </c>
      <c r="FV9" s="143">
        <v>310</v>
      </c>
      <c r="FW9" s="143">
        <v>250</v>
      </c>
      <c r="FX9" s="143">
        <v>252</v>
      </c>
      <c r="FY9" s="143">
        <v>245</v>
      </c>
      <c r="FZ9" s="143">
        <v>248</v>
      </c>
      <c r="GA9" s="143">
        <v>237</v>
      </c>
      <c r="GB9" s="143">
        <v>208</v>
      </c>
      <c r="GC9" s="143">
        <v>178</v>
      </c>
      <c r="GD9" s="143">
        <v>210</v>
      </c>
      <c r="GE9" s="143">
        <v>277</v>
      </c>
      <c r="GF9" s="143">
        <v>262</v>
      </c>
      <c r="GG9" s="143">
        <v>303</v>
      </c>
      <c r="GH9" s="143">
        <v>284</v>
      </c>
      <c r="GI9" s="143">
        <v>230</v>
      </c>
      <c r="GJ9" s="143">
        <v>222</v>
      </c>
      <c r="GK9" s="143">
        <v>186</v>
      </c>
      <c r="GL9" s="143">
        <v>195</v>
      </c>
      <c r="GM9" s="143">
        <v>174</v>
      </c>
      <c r="GN9" s="143">
        <v>179</v>
      </c>
      <c r="GO9" s="143">
        <v>146</v>
      </c>
      <c r="GP9" s="143">
        <v>214</v>
      </c>
      <c r="GQ9" s="143">
        <v>236</v>
      </c>
      <c r="GR9" s="143">
        <v>261</v>
      </c>
      <c r="GS9" s="143">
        <f t="shared" si="6"/>
        <v>219.16666666666666</v>
      </c>
      <c r="GT9" s="152"/>
      <c r="GU9" s="12" t="s">
        <v>32</v>
      </c>
      <c r="GV9" s="145" t="s">
        <v>30</v>
      </c>
      <c r="GW9" s="145">
        <f t="shared" ref="GW9:HL11" si="7">(C9-B9)/B9</f>
        <v>-0.40239043824701193</v>
      </c>
      <c r="GX9" s="145">
        <f t="shared" si="7"/>
        <v>0.56666666666666665</v>
      </c>
      <c r="GY9" s="145">
        <f t="shared" si="7"/>
        <v>-0.18723404255319148</v>
      </c>
      <c r="GZ9" s="145">
        <f t="shared" si="7"/>
        <v>0.37172774869109948</v>
      </c>
      <c r="HA9" s="145">
        <f t="shared" si="7"/>
        <v>9.5419847328244281E-2</v>
      </c>
      <c r="HB9" s="145">
        <f t="shared" si="7"/>
        <v>8.7108013937282236E-2</v>
      </c>
      <c r="HC9" s="145">
        <f t="shared" si="7"/>
        <v>0.11858974358974358</v>
      </c>
      <c r="HD9" s="145">
        <f t="shared" si="7"/>
        <v>4.2979942693409739E-2</v>
      </c>
      <c r="HE9" s="145">
        <f t="shared" si="7"/>
        <v>-7.1428571428571425E-2</v>
      </c>
      <c r="HF9" s="145">
        <f t="shared" si="7"/>
        <v>-3.2544378698224852E-2</v>
      </c>
      <c r="HG9" s="145">
        <f t="shared" si="7"/>
        <v>-8.2568807339449546E-2</v>
      </c>
      <c r="HH9" s="145">
        <f t="shared" si="7"/>
        <v>-0.01</v>
      </c>
      <c r="HI9" s="145">
        <f t="shared" si="7"/>
        <v>-0.16835016835016836</v>
      </c>
      <c r="HJ9" s="145">
        <f t="shared" si="7"/>
        <v>4.8582995951417005E-2</v>
      </c>
      <c r="HK9" s="145">
        <f t="shared" si="7"/>
        <v>-0.18146718146718147</v>
      </c>
      <c r="HL9" s="145">
        <f t="shared" si="7"/>
        <v>0.20283018867924529</v>
      </c>
      <c r="HM9" s="145">
        <f t="shared" ref="HM9:IB11" si="8">(S9-R9)/R9</f>
        <v>0.12549019607843137</v>
      </c>
      <c r="HN9" s="145">
        <f t="shared" si="8"/>
        <v>0.3623693379790941</v>
      </c>
      <c r="HO9" s="145">
        <f t="shared" si="8"/>
        <v>0.24552429667519182</v>
      </c>
      <c r="HP9" s="145">
        <f t="shared" si="8"/>
        <v>0.1540041067761807</v>
      </c>
      <c r="HQ9" s="145">
        <f t="shared" si="8"/>
        <v>2.1352313167259787E-2</v>
      </c>
      <c r="HR9" s="145">
        <f t="shared" si="8"/>
        <v>-0.12717770034843207</v>
      </c>
      <c r="HS9" s="145">
        <f t="shared" si="8"/>
        <v>3.7924151696606789E-2</v>
      </c>
      <c r="HT9" s="145">
        <f t="shared" si="8"/>
        <v>5.7692307692307696E-3</v>
      </c>
      <c r="HU9" s="145">
        <f t="shared" si="8"/>
        <v>-1.7208413001912046E-2</v>
      </c>
      <c r="HV9" s="145">
        <f t="shared" si="8"/>
        <v>-6.0311284046692608E-2</v>
      </c>
      <c r="HW9" s="145">
        <f t="shared" si="8"/>
        <v>-9.3167701863354033E-2</v>
      </c>
      <c r="HX9" s="145">
        <f t="shared" si="8"/>
        <v>7.5342465753424653E-2</v>
      </c>
      <c r="HY9" s="145">
        <f t="shared" si="8"/>
        <v>0.24840764331210191</v>
      </c>
      <c r="HZ9" s="145">
        <f t="shared" si="8"/>
        <v>2.0408163265306121E-2</v>
      </c>
      <c r="IA9" s="145">
        <f t="shared" si="8"/>
        <v>0.10166666666666667</v>
      </c>
      <c r="IB9" s="145">
        <f t="shared" si="8"/>
        <v>-5.7488653555219364E-2</v>
      </c>
      <c r="IC9" s="145">
        <f t="shared" ref="IC9:IR11" si="9">(AI9-AH9)/AH9</f>
        <v>-0.13001605136436598</v>
      </c>
      <c r="ID9" s="145">
        <f t="shared" si="9"/>
        <v>-0.14206642066420663</v>
      </c>
      <c r="IE9" s="145">
        <f t="shared" si="9"/>
        <v>-5.1612903225806452E-2</v>
      </c>
      <c r="IF9" s="145">
        <f t="shared" si="9"/>
        <v>1.5873015873015872E-2</v>
      </c>
      <c r="IG9" s="145">
        <f t="shared" si="9"/>
        <v>7.5892857142857137E-2</v>
      </c>
      <c r="IH9" s="145">
        <f t="shared" si="9"/>
        <v>-1.0373443983402489E-2</v>
      </c>
      <c r="II9" s="145">
        <f t="shared" si="9"/>
        <v>-9.853249475890985E-2</v>
      </c>
      <c r="IJ9" s="145">
        <f t="shared" si="9"/>
        <v>0.12790697674418605</v>
      </c>
      <c r="IK9" s="145">
        <f t="shared" si="9"/>
        <v>9.2783505154639179E-2</v>
      </c>
      <c r="IL9" s="145">
        <f t="shared" si="9"/>
        <v>0.14339622641509434</v>
      </c>
      <c r="IM9" s="145">
        <f t="shared" si="9"/>
        <v>1.65016501650165E-2</v>
      </c>
      <c r="IN9" s="145">
        <f t="shared" si="9"/>
        <v>7.9545454545454544E-2</v>
      </c>
      <c r="IO9" s="145">
        <f t="shared" si="9"/>
        <v>-0.16090225563909774</v>
      </c>
      <c r="IP9" s="145">
        <f t="shared" si="9"/>
        <v>-4.6594982078853049E-2</v>
      </c>
      <c r="IQ9" s="145">
        <f t="shared" si="9"/>
        <v>-5.2631578947368418E-2</v>
      </c>
      <c r="IR9" s="145">
        <f t="shared" si="9"/>
        <v>-6.3492063492063489E-2</v>
      </c>
      <c r="IS9" s="145">
        <f t="shared" ref="IS9:JH11" si="10">(AY9-AX9)/AX9</f>
        <v>-0.12076271186440678</v>
      </c>
      <c r="IT9" s="145">
        <f t="shared" si="10"/>
        <v>8.1927710843373497E-2</v>
      </c>
      <c r="IU9" s="145">
        <f t="shared" si="10"/>
        <v>-0.12472160356347439</v>
      </c>
      <c r="IV9" s="145">
        <f t="shared" si="10"/>
        <v>0.17557251908396945</v>
      </c>
      <c r="IW9" s="145">
        <f t="shared" si="10"/>
        <v>0.19264069264069264</v>
      </c>
      <c r="IX9" s="145">
        <f t="shared" si="10"/>
        <v>1.0889292196007259E-2</v>
      </c>
      <c r="IY9" s="145">
        <f t="shared" si="10"/>
        <v>0.10771992818671454</v>
      </c>
      <c r="IZ9" s="145">
        <f t="shared" si="10"/>
        <v>-0.14586709886547811</v>
      </c>
      <c r="JA9" s="145">
        <f t="shared" si="10"/>
        <v>-3.9848197343453511E-2</v>
      </c>
      <c r="JB9" s="145">
        <f t="shared" si="10"/>
        <v>-6.5217391304347824E-2</v>
      </c>
      <c r="JC9" s="145">
        <f t="shared" si="10"/>
        <v>-6.9767441860465115E-2</v>
      </c>
      <c r="JD9" s="145">
        <f t="shared" si="10"/>
        <v>-5.2272727272727269E-2</v>
      </c>
      <c r="JE9" s="145">
        <f t="shared" si="10"/>
        <v>3.5971223021582732E-2</v>
      </c>
      <c r="JF9" s="145">
        <f t="shared" si="10"/>
        <v>0</v>
      </c>
      <c r="JG9" s="145">
        <f t="shared" si="10"/>
        <v>-0.20833333333333334</v>
      </c>
      <c r="JH9" s="145">
        <f t="shared" si="10"/>
        <v>0.21929824561403508</v>
      </c>
      <c r="JI9" s="145">
        <f t="shared" ref="JI9:JX11" si="11">(BO9-BN9)/BN9</f>
        <v>0.1750599520383693</v>
      </c>
      <c r="JJ9" s="145">
        <f t="shared" si="11"/>
        <v>-1.6326530612244899E-2</v>
      </c>
      <c r="JK9" s="145">
        <f t="shared" si="11"/>
        <v>8.5062240663900418E-2</v>
      </c>
      <c r="JL9" s="145">
        <f t="shared" si="11"/>
        <v>-7.4569789674952203E-2</v>
      </c>
      <c r="JM9" s="145">
        <f t="shared" si="11"/>
        <v>-6.4049586776859499E-2</v>
      </c>
      <c r="JN9" s="145">
        <f t="shared" si="11"/>
        <v>-0.21633554083885209</v>
      </c>
      <c r="JO9" s="145">
        <f t="shared" si="11"/>
        <v>-6.1971830985915494E-2</v>
      </c>
      <c r="JP9" s="145">
        <f t="shared" si="11"/>
        <v>-9.90990990990991E-2</v>
      </c>
      <c r="JQ9" s="145">
        <f t="shared" si="11"/>
        <v>-6.6666666666666671E-3</v>
      </c>
      <c r="JR9" s="145">
        <f t="shared" si="11"/>
        <v>-2.6845637583892617E-2</v>
      </c>
      <c r="JS9" s="145">
        <f t="shared" si="11"/>
        <v>-0.18620689655172415</v>
      </c>
      <c r="JT9" s="145">
        <f t="shared" si="11"/>
        <v>0.26271186440677968</v>
      </c>
      <c r="JU9" s="145">
        <f t="shared" si="11"/>
        <v>0.12416107382550336</v>
      </c>
      <c r="JV9" s="145">
        <f t="shared" si="11"/>
        <v>0.11641791044776119</v>
      </c>
      <c r="JW9" s="145">
        <f t="shared" si="11"/>
        <v>-8.0213903743315516E-3</v>
      </c>
      <c r="JX9" s="145">
        <f t="shared" si="11"/>
        <v>-8.0862533692722376E-3</v>
      </c>
      <c r="JY9" s="145">
        <f t="shared" ref="JY9:KN11" si="12">(CE9-CD9)/CD9</f>
        <v>-2.9891304347826088E-2</v>
      </c>
      <c r="JZ9" s="145">
        <f t="shared" si="12"/>
        <v>-0.14565826330532214</v>
      </c>
      <c r="KA9" s="145">
        <f t="shared" si="12"/>
        <v>-0.10491803278688525</v>
      </c>
      <c r="KB9" s="145">
        <f t="shared" si="12"/>
        <v>-6.95970695970696E-2</v>
      </c>
      <c r="KC9" s="145">
        <f t="shared" si="12"/>
        <v>-9.055118110236221E-2</v>
      </c>
      <c r="KD9" s="145">
        <f t="shared" si="12"/>
        <v>0.22077922077922077</v>
      </c>
      <c r="KE9" s="145">
        <f t="shared" si="12"/>
        <v>-0.25531914893617019</v>
      </c>
      <c r="KF9" s="145">
        <f t="shared" si="12"/>
        <v>0.1761904761904762</v>
      </c>
      <c r="KG9" s="145">
        <f t="shared" si="12"/>
        <v>0.29554655870445345</v>
      </c>
      <c r="KH9" s="145">
        <f t="shared" si="12"/>
        <v>0.23125000000000001</v>
      </c>
      <c r="KI9" s="145">
        <f t="shared" si="12"/>
        <v>-5.5837563451776651E-2</v>
      </c>
      <c r="KJ9" s="145">
        <f t="shared" si="12"/>
        <v>-5.9139784946236562E-2</v>
      </c>
      <c r="KK9" s="145">
        <f t="shared" si="12"/>
        <v>0.04</v>
      </c>
      <c r="KL9" s="145">
        <f t="shared" si="12"/>
        <v>-0.17857142857142858</v>
      </c>
      <c r="KM9" s="145">
        <f t="shared" si="12"/>
        <v>6.688963210702341E-3</v>
      </c>
      <c r="KN9" s="145">
        <f t="shared" si="12"/>
        <v>-7.9734219269102985E-2</v>
      </c>
      <c r="KO9" s="145">
        <f t="shared" ref="KO9:LD11" si="13">(CU9-CT9)/CT9</f>
        <v>-6.4981949458483748E-2</v>
      </c>
      <c r="KP9" s="145">
        <f t="shared" si="13"/>
        <v>9.2664092664092659E-2</v>
      </c>
      <c r="KQ9" s="145">
        <f t="shared" si="13"/>
        <v>-0.24734982332155478</v>
      </c>
      <c r="KR9" s="145">
        <f t="shared" si="13"/>
        <v>0.23943661971830985</v>
      </c>
      <c r="KS9" s="145">
        <f t="shared" si="13"/>
        <v>0.26893939393939392</v>
      </c>
      <c r="KT9" s="145">
        <f t="shared" si="13"/>
        <v>9.2537313432835819E-2</v>
      </c>
      <c r="KU9" s="145">
        <f t="shared" si="13"/>
        <v>1.6393442622950821E-2</v>
      </c>
      <c r="KV9" s="145">
        <f t="shared" si="13"/>
        <v>2.1505376344086023E-2</v>
      </c>
      <c r="KW9" s="145">
        <f t="shared" si="13"/>
        <v>-0.18684210526315789</v>
      </c>
      <c r="KX9" s="145">
        <f t="shared" si="13"/>
        <v>2.5889967637540454E-2</v>
      </c>
      <c r="KY9" s="145">
        <f t="shared" si="13"/>
        <v>-9.1482649842271294E-2</v>
      </c>
      <c r="KZ9" s="145">
        <f t="shared" si="13"/>
        <v>-5.2083333333333336E-2</v>
      </c>
      <c r="LA9" s="145">
        <f t="shared" si="13"/>
        <v>-1.8315018315018316E-2</v>
      </c>
      <c r="LB9" s="145">
        <f t="shared" si="13"/>
        <v>-6.7164179104477612E-2</v>
      </c>
      <c r="LC9" s="145">
        <f t="shared" si="13"/>
        <v>-0.104</v>
      </c>
      <c r="LD9" s="145">
        <f t="shared" si="13"/>
        <v>0.18303571428571427</v>
      </c>
      <c r="LE9" s="145">
        <f t="shared" si="1"/>
        <v>-2.6415094339622643E-2</v>
      </c>
      <c r="LF9" s="145">
        <f t="shared" si="1"/>
        <v>0.39922480620155038</v>
      </c>
      <c r="LG9" s="145">
        <f t="shared" si="1"/>
        <v>8.3102493074792248E-3</v>
      </c>
      <c r="LH9" s="145">
        <f t="shared" si="1"/>
        <v>2.7472527472527475E-3</v>
      </c>
      <c r="LI9" s="145">
        <f t="shared" si="1"/>
        <v>-0.17808219178082191</v>
      </c>
      <c r="LJ9" s="145">
        <f t="shared" si="1"/>
        <v>-9.6666666666666665E-2</v>
      </c>
      <c r="LK9" s="145">
        <f t="shared" si="1"/>
        <v>-5.5350553505535055E-2</v>
      </c>
      <c r="LL9" s="145">
        <f t="shared" si="1"/>
        <v>-3.125E-2</v>
      </c>
      <c r="LM9" s="145">
        <f t="shared" si="1"/>
        <v>5.6451612903225805E-2</v>
      </c>
      <c r="LN9" s="145">
        <f t="shared" si="1"/>
        <v>4.9618320610687022E-2</v>
      </c>
      <c r="LO9" s="145">
        <f t="shared" si="1"/>
        <v>-0.14545454545454545</v>
      </c>
      <c r="LP9" s="145">
        <f t="shared" si="1"/>
        <v>0.24680851063829787</v>
      </c>
      <c r="LQ9" s="145">
        <f t="shared" si="1"/>
        <v>0.20477815699658702</v>
      </c>
      <c r="LR9" s="145">
        <f t="shared" si="1"/>
        <v>8.4985835694051E-3</v>
      </c>
      <c r="LS9" s="145">
        <f t="shared" si="1"/>
        <v>-4.49438202247191E-2</v>
      </c>
      <c r="LT9" s="145">
        <f t="shared" si="1"/>
        <v>-2.6470588235294117E-2</v>
      </c>
      <c r="LU9" s="145">
        <f t="shared" si="2"/>
        <v>-0.14501510574018128</v>
      </c>
      <c r="LV9" s="145">
        <f t="shared" si="2"/>
        <v>1.0600706713780919E-2</v>
      </c>
      <c r="LW9" s="145">
        <f t="shared" si="2"/>
        <v>-0.12587412587412589</v>
      </c>
      <c r="LX9" s="145">
        <f t="shared" si="2"/>
        <v>0.02</v>
      </c>
      <c r="LY9" s="145">
        <f t="shared" si="2"/>
        <v>-0.18431372549019609</v>
      </c>
      <c r="LZ9" s="145">
        <f t="shared" si="2"/>
        <v>0.10096153846153846</v>
      </c>
      <c r="MA9" s="145">
        <f t="shared" si="2"/>
        <v>-0.16157205240174671</v>
      </c>
      <c r="MB9" s="145">
        <f t="shared" si="2"/>
        <v>0.25</v>
      </c>
      <c r="MC9" s="145">
        <f t="shared" si="2"/>
        <v>0.2</v>
      </c>
      <c r="MD9" s="145">
        <f t="shared" si="2"/>
        <v>0.15277777777777779</v>
      </c>
      <c r="ME9" s="145">
        <f t="shared" si="2"/>
        <v>0.10240963855421686</v>
      </c>
      <c r="MF9" s="145">
        <f t="shared" si="2"/>
        <v>-7.1038251366120214E-2</v>
      </c>
      <c r="MG9" s="145">
        <f t="shared" si="2"/>
        <v>-0.12058823529411765</v>
      </c>
      <c r="MH9" s="145">
        <f t="shared" si="2"/>
        <v>-9.3645484949832769E-2</v>
      </c>
      <c r="MI9" s="145">
        <f t="shared" si="2"/>
        <v>0</v>
      </c>
      <c r="MJ9" s="145">
        <f t="shared" si="2"/>
        <v>-2.9520295202952029E-2</v>
      </c>
      <c r="MK9" s="145">
        <f t="shared" si="2"/>
        <v>2.2813688212927757E-2</v>
      </c>
      <c r="ML9" s="145">
        <f t="shared" si="2"/>
        <v>0.14126394052044611</v>
      </c>
      <c r="MM9" s="145">
        <f t="shared" si="2"/>
        <v>-0.28990228013029318</v>
      </c>
      <c r="MN9" s="145">
        <f t="shared" si="2"/>
        <v>0.27064220183486237</v>
      </c>
      <c r="MO9" s="145">
        <f t="shared" si="2"/>
        <v>0.23465703971119134</v>
      </c>
      <c r="MP9" s="145">
        <f t="shared" si="2"/>
        <v>-0.25438596491228072</v>
      </c>
      <c r="MQ9" s="145">
        <f t="shared" si="2"/>
        <v>-0.14117647058823529</v>
      </c>
      <c r="MR9" s="145">
        <f t="shared" si="2"/>
        <v>0.24200913242009131</v>
      </c>
      <c r="MS9" s="145">
        <f>(EZ9-EY9)/EY9</f>
        <v>-1.7699115044247787E-2</v>
      </c>
      <c r="MT9" s="145">
        <f t="shared" si="3"/>
        <v>-1.8018018018018018E-2</v>
      </c>
      <c r="MU9" s="145">
        <f t="shared" si="3"/>
        <v>6.4606741573033713E-2</v>
      </c>
      <c r="MV9" s="145">
        <f t="shared" si="3"/>
        <v>-4.0935672514619881E-2</v>
      </c>
      <c r="MW9" s="145">
        <f t="shared" si="3"/>
        <v>0.10471204188481675</v>
      </c>
      <c r="MX9" s="145">
        <f t="shared" si="3"/>
        <v>4.2606516290726815E-2</v>
      </c>
      <c r="MY9" s="145">
        <f t="shared" si="3"/>
        <v>-0.26666666666666666</v>
      </c>
      <c r="MZ9" s="145">
        <f t="shared" si="3"/>
        <v>0.19437340153452684</v>
      </c>
      <c r="NA9" s="145">
        <f t="shared" si="3"/>
        <v>0.08</v>
      </c>
      <c r="NB9" s="145">
        <f t="shared" si="3"/>
        <v>2.3474178403755869E-3</v>
      </c>
      <c r="NC9" s="145">
        <f t="shared" si="3"/>
        <v>-1.9138755980861243E-2</v>
      </c>
      <c r="ND9" s="145">
        <f t="shared" si="3"/>
        <v>-1.4563106796116505E-2</v>
      </c>
      <c r="NE9" s="145">
        <f t="shared" si="3"/>
        <v>-0.11051212938005391</v>
      </c>
      <c r="NF9" s="145">
        <f t="shared" si="3"/>
        <v>-0.22442244224422442</v>
      </c>
      <c r="NG9" s="145">
        <f t="shared" si="3"/>
        <v>0.12680115273775217</v>
      </c>
      <c r="NH9" s="145">
        <f t="shared" si="3"/>
        <v>-4.2042042042042045E-2</v>
      </c>
      <c r="NI9" s="145">
        <f t="shared" si="3"/>
        <v>-6.0422960725075529E-3</v>
      </c>
      <c r="NJ9" s="145">
        <f t="shared" si="4"/>
        <v>1.1940298507462687E-2</v>
      </c>
      <c r="NK9" s="145">
        <f t="shared" si="4"/>
        <v>-0.19642857142857142</v>
      </c>
      <c r="NL9" s="145">
        <f t="shared" si="4"/>
        <v>0.17888563049853373</v>
      </c>
      <c r="NM9" s="145">
        <f t="shared" si="4"/>
        <v>8.0862533692722366E-2</v>
      </c>
      <c r="NN9" s="145">
        <f t="shared" si="4"/>
        <v>3.3854166666666664E-2</v>
      </c>
      <c r="NO9" s="145">
        <f t="shared" si="4"/>
        <v>-1.3192612137203167E-2</v>
      </c>
      <c r="NP9" s="145">
        <f t="shared" si="4"/>
        <v>-0.22258064516129034</v>
      </c>
      <c r="NQ9" s="145">
        <f t="shared" si="4"/>
        <v>-0.24</v>
      </c>
      <c r="NR9" s="145">
        <f t="shared" si="4"/>
        <v>7.9365079365079361E-3</v>
      </c>
      <c r="NS9" s="145">
        <f t="shared" si="4"/>
        <v>-2.8571428571428571E-2</v>
      </c>
      <c r="NT9" s="145">
        <f t="shared" si="4"/>
        <v>1.2096774193548387E-2</v>
      </c>
      <c r="NU9" s="145">
        <f t="shared" si="4"/>
        <v>-4.6413502109704644E-2</v>
      </c>
      <c r="NV9" s="145">
        <f t="shared" si="4"/>
        <v>-0.13942307692307693</v>
      </c>
      <c r="NW9" s="145">
        <f t="shared" si="4"/>
        <v>-0.16853932584269662</v>
      </c>
      <c r="NX9" s="145">
        <f t="shared" si="5"/>
        <v>0.15238095238095239</v>
      </c>
      <c r="NY9" s="145">
        <f t="shared" si="5"/>
        <v>0.24187725631768953</v>
      </c>
      <c r="NZ9" s="145">
        <f t="shared" si="5"/>
        <v>-5.7251908396946563E-2</v>
      </c>
      <c r="OA9" s="145">
        <f t="shared" si="5"/>
        <v>0.13531353135313531</v>
      </c>
      <c r="OB9" s="145">
        <f t="shared" si="5"/>
        <v>-6.6901408450704219E-2</v>
      </c>
      <c r="OC9" s="145">
        <f t="shared" si="5"/>
        <v>-0.23478260869565218</v>
      </c>
      <c r="OD9" s="145">
        <f t="shared" si="5"/>
        <v>-3.6036036036036036E-2</v>
      </c>
      <c r="OE9" s="145">
        <f t="shared" si="5"/>
        <v>-0.19354838709677419</v>
      </c>
      <c r="OF9" s="145">
        <f t="shared" si="5"/>
        <v>4.6153846153846156E-2</v>
      </c>
      <c r="OG9" s="145">
        <f t="shared" si="5"/>
        <v>-0.1206896551724138</v>
      </c>
      <c r="OH9" s="145">
        <f t="shared" si="5"/>
        <v>2.7932960893854747E-2</v>
      </c>
      <c r="OI9" s="145">
        <f t="shared" si="5"/>
        <v>-0.22602739726027396</v>
      </c>
      <c r="OJ9" s="145">
        <f t="shared" si="5"/>
        <v>0.31775700934579437</v>
      </c>
      <c r="OK9" s="145">
        <f t="shared" si="5"/>
        <v>9.3220338983050849E-2</v>
      </c>
      <c r="OL9" s="145">
        <f t="shared" si="5"/>
        <v>9.5785440613026823E-2</v>
      </c>
    </row>
    <row r="10" spans="1:402" s="145" customFormat="1" ht="19.5" customHeight="1" x14ac:dyDescent="0.35">
      <c r="A10" s="12" t="s">
        <v>33</v>
      </c>
      <c r="B10" s="156">
        <f>'[1]Sept 07'!C49</f>
        <v>177</v>
      </c>
      <c r="C10" s="156">
        <f>'[1]Oct 07'!C49</f>
        <v>236</v>
      </c>
      <c r="D10" s="156">
        <f>'[1]Nov 07'!C49</f>
        <v>168</v>
      </c>
      <c r="E10" s="156">
        <f>'[1]Dec 07'!C49</f>
        <v>190</v>
      </c>
      <c r="F10" s="156">
        <f>'[1]Jan 08'!C49</f>
        <v>187</v>
      </c>
      <c r="G10" s="143">
        <f>'[1]Feb 08'!C49</f>
        <v>227</v>
      </c>
      <c r="H10" s="143">
        <f>'[1]Mar 08'!C49</f>
        <v>246</v>
      </c>
      <c r="I10" s="143">
        <v>270</v>
      </c>
      <c r="J10" s="143">
        <f>'[1]May 08'!C49</f>
        <v>300</v>
      </c>
      <c r="K10" s="143">
        <f>'[1]Jun 08'!C49</f>
        <v>321</v>
      </c>
      <c r="L10" s="143">
        <f>'[1]Jul 08'!C49</f>
        <v>286</v>
      </c>
      <c r="M10" s="143">
        <f>'[1]Aug 08'!C49</f>
        <v>274</v>
      </c>
      <c r="N10" s="143">
        <v>235</v>
      </c>
      <c r="O10" s="143">
        <v>228</v>
      </c>
      <c r="P10" s="143">
        <v>177</v>
      </c>
      <c r="Q10" s="143">
        <v>228</v>
      </c>
      <c r="R10" s="143">
        <v>174</v>
      </c>
      <c r="S10" s="143">
        <v>199</v>
      </c>
      <c r="T10" s="143">
        <v>242</v>
      </c>
      <c r="U10" s="143">
        <v>301</v>
      </c>
      <c r="V10" s="143">
        <v>348</v>
      </c>
      <c r="W10" s="143">
        <v>429</v>
      </c>
      <c r="X10" s="143">
        <v>392</v>
      </c>
      <c r="Y10" s="143">
        <v>330</v>
      </c>
      <c r="Z10" s="143">
        <v>351</v>
      </c>
      <c r="AA10" s="143">
        <v>351</v>
      </c>
      <c r="AB10" s="143">
        <v>345</v>
      </c>
      <c r="AC10" s="143">
        <v>364</v>
      </c>
      <c r="AD10" s="143">
        <v>267</v>
      </c>
      <c r="AE10" s="143">
        <v>301</v>
      </c>
      <c r="AF10" s="143">
        <v>442</v>
      </c>
      <c r="AG10" s="143">
        <v>422</v>
      </c>
      <c r="AH10" s="143">
        <v>437</v>
      </c>
      <c r="AI10" s="143">
        <v>449</v>
      </c>
      <c r="AJ10" s="143">
        <v>367</v>
      </c>
      <c r="AK10" s="143">
        <v>332</v>
      </c>
      <c r="AL10" s="143">
        <v>287</v>
      </c>
      <c r="AM10" s="143">
        <v>324</v>
      </c>
      <c r="AN10" s="143">
        <v>330</v>
      </c>
      <c r="AO10" s="143">
        <v>400</v>
      </c>
      <c r="AP10" s="143">
        <v>324</v>
      </c>
      <c r="AQ10" s="143">
        <v>382</v>
      </c>
      <c r="AR10" s="143">
        <v>433</v>
      </c>
      <c r="AS10" s="143">
        <v>481</v>
      </c>
      <c r="AT10" s="143">
        <v>471</v>
      </c>
      <c r="AU10" s="143">
        <v>568</v>
      </c>
      <c r="AV10" s="143">
        <v>414</v>
      </c>
      <c r="AW10" s="143">
        <v>427</v>
      </c>
      <c r="AX10" s="143">
        <v>373</v>
      </c>
      <c r="AY10" s="143">
        <v>392</v>
      </c>
      <c r="AZ10" s="143">
        <v>325</v>
      </c>
      <c r="BA10" s="143">
        <v>395</v>
      </c>
      <c r="BB10" s="143">
        <v>320</v>
      </c>
      <c r="BC10" s="143">
        <v>380</v>
      </c>
      <c r="BD10" s="143">
        <v>492</v>
      </c>
      <c r="BE10" s="143">
        <v>511</v>
      </c>
      <c r="BF10" s="143">
        <v>564</v>
      </c>
      <c r="BG10" s="143">
        <v>493</v>
      </c>
      <c r="BH10" s="143">
        <v>409</v>
      </c>
      <c r="BI10" s="143">
        <v>436</v>
      </c>
      <c r="BJ10" s="143">
        <v>372</v>
      </c>
      <c r="BK10" s="143">
        <v>390</v>
      </c>
      <c r="BL10" s="143">
        <v>386</v>
      </c>
      <c r="BM10" s="143">
        <v>402</v>
      </c>
      <c r="BN10" s="143">
        <v>331</v>
      </c>
      <c r="BO10" s="143">
        <v>390</v>
      </c>
      <c r="BP10" s="143">
        <v>503</v>
      </c>
      <c r="BQ10" s="143">
        <v>531</v>
      </c>
      <c r="BR10" s="143">
        <v>543</v>
      </c>
      <c r="BS10" s="143">
        <v>525</v>
      </c>
      <c r="BT10" s="143">
        <v>503</v>
      </c>
      <c r="BU10" s="143">
        <v>387</v>
      </c>
      <c r="BV10" s="143">
        <v>347</v>
      </c>
      <c r="BW10" s="143">
        <v>326</v>
      </c>
      <c r="BX10" s="143">
        <v>320</v>
      </c>
      <c r="BY10" s="143">
        <v>332</v>
      </c>
      <c r="BZ10" s="143">
        <v>257</v>
      </c>
      <c r="CA10" s="143">
        <v>310</v>
      </c>
      <c r="CB10" s="143">
        <v>379</v>
      </c>
      <c r="CC10" s="143">
        <v>459</v>
      </c>
      <c r="CD10" s="143">
        <v>432</v>
      </c>
      <c r="CE10" s="143">
        <v>470</v>
      </c>
      <c r="CF10" s="143">
        <v>401</v>
      </c>
      <c r="CG10" s="143">
        <v>360</v>
      </c>
      <c r="CH10" s="143">
        <v>354</v>
      </c>
      <c r="CI10" s="143">
        <v>336</v>
      </c>
      <c r="CJ10" s="143">
        <v>260</v>
      </c>
      <c r="CK10" s="143">
        <v>373</v>
      </c>
      <c r="CL10" s="143">
        <v>295</v>
      </c>
      <c r="CM10" s="143">
        <v>317</v>
      </c>
      <c r="CN10" s="143">
        <v>458</v>
      </c>
      <c r="CO10" s="143">
        <v>488</v>
      </c>
      <c r="CP10" s="143">
        <v>459</v>
      </c>
      <c r="CQ10" s="143">
        <v>472</v>
      </c>
      <c r="CR10" s="143">
        <v>486</v>
      </c>
      <c r="CS10" s="143">
        <v>375</v>
      </c>
      <c r="CT10" s="143">
        <v>399</v>
      </c>
      <c r="CU10" s="143">
        <v>372</v>
      </c>
      <c r="CV10" s="143">
        <v>302</v>
      </c>
      <c r="CW10" s="143">
        <v>350</v>
      </c>
      <c r="CX10" s="143">
        <v>268</v>
      </c>
      <c r="CY10" s="143">
        <v>320</v>
      </c>
      <c r="CZ10" s="143">
        <v>470</v>
      </c>
      <c r="DA10" s="143">
        <v>504</v>
      </c>
      <c r="DB10" s="143">
        <v>485</v>
      </c>
      <c r="DC10" s="143">
        <v>506</v>
      </c>
      <c r="DD10" s="143">
        <v>378</v>
      </c>
      <c r="DE10" s="143">
        <v>446</v>
      </c>
      <c r="DF10" s="143">
        <v>403</v>
      </c>
      <c r="DG10" s="143">
        <v>389</v>
      </c>
      <c r="DH10" s="143">
        <v>371</v>
      </c>
      <c r="DI10" s="143">
        <v>397</v>
      </c>
      <c r="DJ10" s="143">
        <v>349</v>
      </c>
      <c r="DK10" s="143">
        <v>368</v>
      </c>
      <c r="DL10" s="143">
        <v>517</v>
      </c>
      <c r="DM10" s="143">
        <v>480</v>
      </c>
      <c r="DN10" s="143">
        <v>551</v>
      </c>
      <c r="DO10" s="143">
        <v>533</v>
      </c>
      <c r="DP10" s="143">
        <v>413</v>
      </c>
      <c r="DQ10" s="143">
        <v>436</v>
      </c>
      <c r="DR10" s="143">
        <v>373</v>
      </c>
      <c r="DS10" s="143">
        <v>399</v>
      </c>
      <c r="DT10" s="143">
        <v>388</v>
      </c>
      <c r="DU10" s="143">
        <v>400</v>
      </c>
      <c r="DV10" s="143">
        <v>378</v>
      </c>
      <c r="DW10" s="143">
        <v>416</v>
      </c>
      <c r="DX10" s="143">
        <v>513</v>
      </c>
      <c r="DY10" s="143">
        <v>523</v>
      </c>
      <c r="DZ10" s="143">
        <v>593</v>
      </c>
      <c r="EA10" s="143">
        <v>552</v>
      </c>
      <c r="EB10" s="143">
        <v>464</v>
      </c>
      <c r="EC10" s="143">
        <v>427</v>
      </c>
      <c r="ED10" s="143">
        <v>335</v>
      </c>
      <c r="EE10" s="143">
        <v>370</v>
      </c>
      <c r="EF10" s="143">
        <v>348</v>
      </c>
      <c r="EG10" s="143">
        <v>347</v>
      </c>
      <c r="EH10" s="143">
        <v>322</v>
      </c>
      <c r="EI10" s="143">
        <v>368</v>
      </c>
      <c r="EJ10" s="143">
        <v>453</v>
      </c>
      <c r="EK10" s="143">
        <v>529</v>
      </c>
      <c r="EL10" s="143">
        <v>613</v>
      </c>
      <c r="EM10" s="143">
        <v>520</v>
      </c>
      <c r="EN10" s="143">
        <v>475</v>
      </c>
      <c r="EO10" s="143">
        <v>449</v>
      </c>
      <c r="EP10" s="143">
        <v>423</v>
      </c>
      <c r="EQ10" s="143">
        <v>433</v>
      </c>
      <c r="ER10" s="143">
        <v>370</v>
      </c>
      <c r="ES10" s="143">
        <v>464</v>
      </c>
      <c r="ET10" s="143">
        <v>326</v>
      </c>
      <c r="EU10" s="143">
        <v>447</v>
      </c>
      <c r="EV10" s="143">
        <v>487</v>
      </c>
      <c r="EW10" s="143">
        <v>335</v>
      </c>
      <c r="EX10" s="143">
        <v>320</v>
      </c>
      <c r="EY10" s="143">
        <v>519</v>
      </c>
      <c r="EZ10" s="143">
        <v>579</v>
      </c>
      <c r="FA10" s="143">
        <v>531</v>
      </c>
      <c r="FB10" s="143">
        <v>548</v>
      </c>
      <c r="FC10" s="143">
        <v>599</v>
      </c>
      <c r="FD10" s="143">
        <v>532</v>
      </c>
      <c r="FE10" s="143">
        <v>638</v>
      </c>
      <c r="FF10" s="143">
        <v>497</v>
      </c>
      <c r="FG10" s="143">
        <v>559</v>
      </c>
      <c r="FH10" s="143">
        <v>644</v>
      </c>
      <c r="FI10" s="143">
        <v>642</v>
      </c>
      <c r="FJ10" s="143">
        <v>631</v>
      </c>
      <c r="FK10" s="143">
        <v>599</v>
      </c>
      <c r="FL10" s="143">
        <v>520</v>
      </c>
      <c r="FM10" s="143">
        <v>476</v>
      </c>
      <c r="FN10" s="143">
        <v>486</v>
      </c>
      <c r="FO10" s="143">
        <v>435</v>
      </c>
      <c r="FP10" s="143">
        <v>497</v>
      </c>
      <c r="FQ10" s="143">
        <v>497</v>
      </c>
      <c r="FR10" s="143">
        <v>388</v>
      </c>
      <c r="FS10" s="143">
        <v>429</v>
      </c>
      <c r="FT10" s="143">
        <v>520</v>
      </c>
      <c r="FU10" s="143">
        <v>494</v>
      </c>
      <c r="FV10" s="143">
        <v>489</v>
      </c>
      <c r="FW10" s="143">
        <v>420</v>
      </c>
      <c r="FX10" s="143">
        <v>271</v>
      </c>
      <c r="FY10" s="143">
        <v>322</v>
      </c>
      <c r="FZ10" s="143">
        <v>288</v>
      </c>
      <c r="GA10" s="143">
        <v>277</v>
      </c>
      <c r="GB10" s="143">
        <v>267</v>
      </c>
      <c r="GC10" s="143">
        <v>237</v>
      </c>
      <c r="GD10" s="143">
        <v>206</v>
      </c>
      <c r="GE10" s="143">
        <v>269</v>
      </c>
      <c r="GF10" s="143">
        <v>417</v>
      </c>
      <c r="GG10" s="143">
        <v>319</v>
      </c>
      <c r="GH10" s="143">
        <v>454</v>
      </c>
      <c r="GI10" s="143">
        <v>442</v>
      </c>
      <c r="GJ10" s="143">
        <v>313</v>
      </c>
      <c r="GK10" s="143">
        <v>334</v>
      </c>
      <c r="GL10" s="143">
        <v>273</v>
      </c>
      <c r="GM10" s="143">
        <v>266</v>
      </c>
      <c r="GN10" s="143">
        <v>275</v>
      </c>
      <c r="GO10" s="143">
        <v>267</v>
      </c>
      <c r="GP10" s="143">
        <v>244</v>
      </c>
      <c r="GQ10" s="143">
        <v>324</v>
      </c>
      <c r="GR10" s="143">
        <v>345</v>
      </c>
      <c r="GS10" s="143">
        <f t="shared" si="6"/>
        <v>321.33333333333331</v>
      </c>
      <c r="GT10" s="152"/>
      <c r="GU10" s="12" t="s">
        <v>33</v>
      </c>
      <c r="GV10" s="145" t="s">
        <v>30</v>
      </c>
      <c r="GW10" s="145">
        <f t="shared" si="7"/>
        <v>0.33333333333333331</v>
      </c>
      <c r="GX10" s="145">
        <f t="shared" si="7"/>
        <v>-0.28813559322033899</v>
      </c>
      <c r="GY10" s="145">
        <f t="shared" si="7"/>
        <v>0.13095238095238096</v>
      </c>
      <c r="GZ10" s="145">
        <f t="shared" si="7"/>
        <v>-1.5789473684210527E-2</v>
      </c>
      <c r="HA10" s="145">
        <f t="shared" si="7"/>
        <v>0.21390374331550802</v>
      </c>
      <c r="HB10" s="145">
        <f t="shared" si="7"/>
        <v>8.3700440528634359E-2</v>
      </c>
      <c r="HC10" s="145">
        <f t="shared" si="7"/>
        <v>9.7560975609756101E-2</v>
      </c>
      <c r="HD10" s="145">
        <f t="shared" si="7"/>
        <v>0.1111111111111111</v>
      </c>
      <c r="HE10" s="145">
        <f t="shared" si="7"/>
        <v>7.0000000000000007E-2</v>
      </c>
      <c r="HF10" s="145">
        <f t="shared" si="7"/>
        <v>-0.10903426791277258</v>
      </c>
      <c r="HG10" s="145">
        <f t="shared" si="7"/>
        <v>-4.195804195804196E-2</v>
      </c>
      <c r="HH10" s="145">
        <f t="shared" si="7"/>
        <v>-0.14233576642335766</v>
      </c>
      <c r="HI10" s="145">
        <f t="shared" si="7"/>
        <v>-2.9787234042553193E-2</v>
      </c>
      <c r="HJ10" s="145">
        <f t="shared" si="7"/>
        <v>-0.22368421052631579</v>
      </c>
      <c r="HK10" s="145">
        <f t="shared" si="7"/>
        <v>0.28813559322033899</v>
      </c>
      <c r="HL10" s="145">
        <f t="shared" si="7"/>
        <v>-0.23684210526315788</v>
      </c>
      <c r="HM10" s="145">
        <f t="shared" si="8"/>
        <v>0.14367816091954022</v>
      </c>
      <c r="HN10" s="145">
        <f t="shared" si="8"/>
        <v>0.21608040201005024</v>
      </c>
      <c r="HO10" s="145">
        <f t="shared" si="8"/>
        <v>0.24380165289256198</v>
      </c>
      <c r="HP10" s="145">
        <f t="shared" si="8"/>
        <v>0.15614617940199335</v>
      </c>
      <c r="HQ10" s="145">
        <f t="shared" si="8"/>
        <v>0.23275862068965517</v>
      </c>
      <c r="HR10" s="145">
        <f t="shared" si="8"/>
        <v>-8.6247086247086241E-2</v>
      </c>
      <c r="HS10" s="145">
        <f t="shared" si="8"/>
        <v>-0.15816326530612246</v>
      </c>
      <c r="HT10" s="145">
        <f t="shared" si="8"/>
        <v>6.363636363636363E-2</v>
      </c>
      <c r="HU10" s="145">
        <f t="shared" si="8"/>
        <v>0</v>
      </c>
      <c r="HV10" s="145">
        <f t="shared" si="8"/>
        <v>-1.7094017094017096E-2</v>
      </c>
      <c r="HW10" s="145">
        <f t="shared" si="8"/>
        <v>5.5072463768115941E-2</v>
      </c>
      <c r="HX10" s="145">
        <f t="shared" si="8"/>
        <v>-0.26648351648351648</v>
      </c>
      <c r="HY10" s="145">
        <f t="shared" si="8"/>
        <v>0.12734082397003746</v>
      </c>
      <c r="HZ10" s="145">
        <f t="shared" si="8"/>
        <v>0.46843853820598008</v>
      </c>
      <c r="IA10" s="145">
        <f t="shared" si="8"/>
        <v>-4.5248868778280542E-2</v>
      </c>
      <c r="IB10" s="145">
        <f t="shared" si="8"/>
        <v>3.5545023696682464E-2</v>
      </c>
      <c r="IC10" s="145">
        <f t="shared" si="9"/>
        <v>2.7459954233409609E-2</v>
      </c>
      <c r="ID10" s="145">
        <f t="shared" si="9"/>
        <v>-0.18262806236080179</v>
      </c>
      <c r="IE10" s="145">
        <f t="shared" si="9"/>
        <v>-9.5367847411444148E-2</v>
      </c>
      <c r="IF10" s="145">
        <f t="shared" si="9"/>
        <v>-0.13554216867469879</v>
      </c>
      <c r="IG10" s="145">
        <f t="shared" si="9"/>
        <v>0.1289198606271777</v>
      </c>
      <c r="IH10" s="145">
        <f t="shared" si="9"/>
        <v>1.8518518518518517E-2</v>
      </c>
      <c r="II10" s="145">
        <f t="shared" si="9"/>
        <v>0.21212121212121213</v>
      </c>
      <c r="IJ10" s="145">
        <f t="shared" si="9"/>
        <v>-0.19</v>
      </c>
      <c r="IK10" s="145">
        <f t="shared" si="9"/>
        <v>0.17901234567901234</v>
      </c>
      <c r="IL10" s="145">
        <f t="shared" si="9"/>
        <v>0.13350785340314136</v>
      </c>
      <c r="IM10" s="145">
        <f t="shared" si="9"/>
        <v>0.11085450346420324</v>
      </c>
      <c r="IN10" s="145">
        <f t="shared" si="9"/>
        <v>-2.0790020790020791E-2</v>
      </c>
      <c r="IO10" s="145">
        <f t="shared" si="9"/>
        <v>0.20594479830148621</v>
      </c>
      <c r="IP10" s="145">
        <f t="shared" si="9"/>
        <v>-0.27112676056338031</v>
      </c>
      <c r="IQ10" s="145">
        <f t="shared" si="9"/>
        <v>3.140096618357488E-2</v>
      </c>
      <c r="IR10" s="145">
        <f t="shared" si="9"/>
        <v>-0.12646370023419204</v>
      </c>
      <c r="IS10" s="145">
        <f t="shared" si="10"/>
        <v>5.0938337801608578E-2</v>
      </c>
      <c r="IT10" s="145">
        <f t="shared" si="10"/>
        <v>-0.17091836734693877</v>
      </c>
      <c r="IU10" s="145">
        <f t="shared" si="10"/>
        <v>0.2153846153846154</v>
      </c>
      <c r="IV10" s="145">
        <f t="shared" si="10"/>
        <v>-0.189873417721519</v>
      </c>
      <c r="IW10" s="145">
        <f t="shared" si="10"/>
        <v>0.1875</v>
      </c>
      <c r="IX10" s="145">
        <f t="shared" si="10"/>
        <v>0.29473684210526313</v>
      </c>
      <c r="IY10" s="145">
        <f t="shared" si="10"/>
        <v>3.8617886178861791E-2</v>
      </c>
      <c r="IZ10" s="145">
        <f t="shared" si="10"/>
        <v>0.10371819960861056</v>
      </c>
      <c r="JA10" s="145">
        <f t="shared" si="10"/>
        <v>-0.12588652482269502</v>
      </c>
      <c r="JB10" s="145">
        <f t="shared" si="10"/>
        <v>-0.17038539553752535</v>
      </c>
      <c r="JC10" s="145">
        <f t="shared" si="10"/>
        <v>6.6014669926650366E-2</v>
      </c>
      <c r="JD10" s="145">
        <f t="shared" si="10"/>
        <v>-0.14678899082568808</v>
      </c>
      <c r="JE10" s="145">
        <f t="shared" si="10"/>
        <v>4.8387096774193547E-2</v>
      </c>
      <c r="JF10" s="145">
        <f t="shared" si="10"/>
        <v>-1.0256410256410256E-2</v>
      </c>
      <c r="JG10" s="145">
        <f t="shared" si="10"/>
        <v>4.145077720207254E-2</v>
      </c>
      <c r="JH10" s="145">
        <f t="shared" si="10"/>
        <v>-0.17661691542288557</v>
      </c>
      <c r="JI10" s="145">
        <f t="shared" si="11"/>
        <v>0.1782477341389728</v>
      </c>
      <c r="JJ10" s="145">
        <f t="shared" si="11"/>
        <v>0.28974358974358977</v>
      </c>
      <c r="JK10" s="145">
        <f t="shared" si="11"/>
        <v>5.5666003976143144E-2</v>
      </c>
      <c r="JL10" s="145">
        <f t="shared" si="11"/>
        <v>2.2598870056497175E-2</v>
      </c>
      <c r="JM10" s="145">
        <f t="shared" si="11"/>
        <v>-3.3149171270718231E-2</v>
      </c>
      <c r="JN10" s="145">
        <f t="shared" si="11"/>
        <v>-4.1904761904761903E-2</v>
      </c>
      <c r="JO10" s="145">
        <f t="shared" si="11"/>
        <v>-0.23061630218687873</v>
      </c>
      <c r="JP10" s="145">
        <f t="shared" si="11"/>
        <v>-0.10335917312661498</v>
      </c>
      <c r="JQ10" s="145">
        <f t="shared" si="11"/>
        <v>-6.0518731988472622E-2</v>
      </c>
      <c r="JR10" s="145">
        <f t="shared" si="11"/>
        <v>-1.8404907975460124E-2</v>
      </c>
      <c r="JS10" s="145">
        <f t="shared" si="11"/>
        <v>3.7499999999999999E-2</v>
      </c>
      <c r="JT10" s="145">
        <f t="shared" si="11"/>
        <v>-0.22590361445783133</v>
      </c>
      <c r="JU10" s="145">
        <f t="shared" si="11"/>
        <v>0.20622568093385213</v>
      </c>
      <c r="JV10" s="145">
        <f t="shared" si="11"/>
        <v>0.22258064516129034</v>
      </c>
      <c r="JW10" s="145">
        <f t="shared" si="11"/>
        <v>0.21108179419525067</v>
      </c>
      <c r="JX10" s="145">
        <f t="shared" si="11"/>
        <v>-5.8823529411764705E-2</v>
      </c>
      <c r="JY10" s="145">
        <f t="shared" si="12"/>
        <v>8.7962962962962965E-2</v>
      </c>
      <c r="JZ10" s="145">
        <f t="shared" si="12"/>
        <v>-0.14680851063829786</v>
      </c>
      <c r="KA10" s="145">
        <f t="shared" si="12"/>
        <v>-0.10224438902743142</v>
      </c>
      <c r="KB10" s="145">
        <f t="shared" si="12"/>
        <v>-1.6666666666666666E-2</v>
      </c>
      <c r="KC10" s="145">
        <f t="shared" si="12"/>
        <v>-5.0847457627118647E-2</v>
      </c>
      <c r="KD10" s="145">
        <f t="shared" si="12"/>
        <v>-0.22619047619047619</v>
      </c>
      <c r="KE10" s="145">
        <f t="shared" si="12"/>
        <v>0.43461538461538463</v>
      </c>
      <c r="KF10" s="145">
        <f t="shared" si="12"/>
        <v>-0.20911528150134048</v>
      </c>
      <c r="KG10" s="145">
        <f t="shared" si="12"/>
        <v>7.4576271186440682E-2</v>
      </c>
      <c r="KH10" s="145">
        <f t="shared" si="12"/>
        <v>0.44479495268138802</v>
      </c>
      <c r="KI10" s="145">
        <f t="shared" si="12"/>
        <v>6.5502183406113537E-2</v>
      </c>
      <c r="KJ10" s="145">
        <f t="shared" si="12"/>
        <v>-5.9426229508196718E-2</v>
      </c>
      <c r="KK10" s="145">
        <f t="shared" si="12"/>
        <v>2.8322440087145968E-2</v>
      </c>
      <c r="KL10" s="145">
        <f t="shared" si="12"/>
        <v>2.9661016949152543E-2</v>
      </c>
      <c r="KM10" s="145">
        <f t="shared" si="12"/>
        <v>-0.22839506172839505</v>
      </c>
      <c r="KN10" s="145">
        <f t="shared" si="12"/>
        <v>6.4000000000000001E-2</v>
      </c>
      <c r="KO10" s="145">
        <f t="shared" si="13"/>
        <v>-6.7669172932330823E-2</v>
      </c>
      <c r="KP10" s="145">
        <f t="shared" si="13"/>
        <v>-0.18817204301075269</v>
      </c>
      <c r="KQ10" s="145">
        <f t="shared" si="13"/>
        <v>0.15894039735099338</v>
      </c>
      <c r="KR10" s="145">
        <f t="shared" si="13"/>
        <v>-0.23428571428571429</v>
      </c>
      <c r="KS10" s="145">
        <f t="shared" si="13"/>
        <v>0.19402985074626866</v>
      </c>
      <c r="KT10" s="145">
        <f t="shared" si="13"/>
        <v>0.46875</v>
      </c>
      <c r="KU10" s="145">
        <f t="shared" si="13"/>
        <v>7.2340425531914887E-2</v>
      </c>
      <c r="KV10" s="145">
        <f t="shared" si="13"/>
        <v>-3.7698412698412696E-2</v>
      </c>
      <c r="KW10" s="145">
        <f t="shared" si="13"/>
        <v>4.3298969072164947E-2</v>
      </c>
      <c r="KX10" s="145">
        <f t="shared" si="13"/>
        <v>-0.25296442687747034</v>
      </c>
      <c r="KY10" s="145">
        <f t="shared" si="13"/>
        <v>0.17989417989417988</v>
      </c>
      <c r="KZ10" s="145">
        <f t="shared" si="13"/>
        <v>-9.641255605381166E-2</v>
      </c>
      <c r="LA10" s="145">
        <f t="shared" si="13"/>
        <v>-3.4739454094292806E-2</v>
      </c>
      <c r="LB10" s="145">
        <f t="shared" si="13"/>
        <v>-4.6272493573264781E-2</v>
      </c>
      <c r="LC10" s="145">
        <f t="shared" si="13"/>
        <v>7.0080862533692723E-2</v>
      </c>
      <c r="LD10" s="145">
        <f t="shared" si="13"/>
        <v>-0.12090680100755667</v>
      </c>
      <c r="LE10" s="145">
        <f t="shared" si="1"/>
        <v>5.4441260744985676E-2</v>
      </c>
      <c r="LF10" s="145">
        <f t="shared" si="1"/>
        <v>0.40489130434782611</v>
      </c>
      <c r="LG10" s="145">
        <f t="shared" si="1"/>
        <v>-7.1566731141199227E-2</v>
      </c>
      <c r="LH10" s="145">
        <f t="shared" si="1"/>
        <v>0.14791666666666667</v>
      </c>
      <c r="LI10" s="145">
        <f t="shared" si="1"/>
        <v>-3.2667876588021776E-2</v>
      </c>
      <c r="LJ10" s="145">
        <f t="shared" si="1"/>
        <v>-0.22514071294559099</v>
      </c>
      <c r="LK10" s="145">
        <f t="shared" si="1"/>
        <v>5.569007263922518E-2</v>
      </c>
      <c r="LL10" s="145">
        <f t="shared" si="1"/>
        <v>-0.14449541284403669</v>
      </c>
      <c r="LM10" s="145">
        <f t="shared" si="1"/>
        <v>6.9705093833780166E-2</v>
      </c>
      <c r="LN10" s="145">
        <f t="shared" si="1"/>
        <v>-2.7568922305764409E-2</v>
      </c>
      <c r="LO10" s="145">
        <f t="shared" si="1"/>
        <v>3.0927835051546393E-2</v>
      </c>
      <c r="LP10" s="145">
        <f t="shared" si="1"/>
        <v>-5.5E-2</v>
      </c>
      <c r="LQ10" s="145">
        <f t="shared" si="1"/>
        <v>0.10052910052910052</v>
      </c>
      <c r="LR10" s="145">
        <f t="shared" si="1"/>
        <v>0.23317307692307693</v>
      </c>
      <c r="LS10" s="145">
        <f t="shared" si="1"/>
        <v>1.9493177387914229E-2</v>
      </c>
      <c r="LT10" s="145">
        <f t="shared" si="1"/>
        <v>0.13384321223709369</v>
      </c>
      <c r="LU10" s="145">
        <f t="shared" si="2"/>
        <v>-6.9139966273187178E-2</v>
      </c>
      <c r="LV10" s="145">
        <f t="shared" si="2"/>
        <v>-0.15942028985507245</v>
      </c>
      <c r="LW10" s="145">
        <f t="shared" si="2"/>
        <v>-7.9741379310344834E-2</v>
      </c>
      <c r="LX10" s="145">
        <f t="shared" si="2"/>
        <v>-0.21545667447306791</v>
      </c>
      <c r="LY10" s="145">
        <f t="shared" si="2"/>
        <v>0.1044776119402985</v>
      </c>
      <c r="LZ10" s="145">
        <f t="shared" si="2"/>
        <v>-5.9459459459459463E-2</v>
      </c>
      <c r="MA10" s="145">
        <f t="shared" si="2"/>
        <v>-2.8735632183908046E-3</v>
      </c>
      <c r="MB10" s="145">
        <f t="shared" si="2"/>
        <v>-7.2046109510086456E-2</v>
      </c>
      <c r="MC10" s="145">
        <f t="shared" si="2"/>
        <v>0.14285714285714285</v>
      </c>
      <c r="MD10" s="145">
        <f t="shared" si="2"/>
        <v>0.23097826086956522</v>
      </c>
      <c r="ME10" s="145">
        <f t="shared" si="2"/>
        <v>0.16777041942604856</v>
      </c>
      <c r="MF10" s="145">
        <f t="shared" si="2"/>
        <v>0.15879017013232513</v>
      </c>
      <c r="MG10" s="145">
        <f t="shared" si="2"/>
        <v>-0.15171288743882544</v>
      </c>
      <c r="MH10" s="145">
        <f t="shared" si="2"/>
        <v>-8.6538461538461536E-2</v>
      </c>
      <c r="MI10" s="145">
        <f t="shared" si="2"/>
        <v>-5.473684210526316E-2</v>
      </c>
      <c r="MJ10" s="145">
        <f t="shared" si="2"/>
        <v>-5.7906458797327393E-2</v>
      </c>
      <c r="MK10" s="145">
        <f t="shared" si="2"/>
        <v>2.3640661938534278E-2</v>
      </c>
      <c r="ML10" s="145">
        <f t="shared" si="2"/>
        <v>-0.14549653579676675</v>
      </c>
      <c r="MM10" s="145">
        <f t="shared" si="2"/>
        <v>0.25405405405405407</v>
      </c>
      <c r="MN10" s="145">
        <f t="shared" si="2"/>
        <v>-0.29741379310344829</v>
      </c>
      <c r="MO10" s="145">
        <f t="shared" si="2"/>
        <v>0.37116564417177916</v>
      </c>
      <c r="MP10" s="145">
        <f t="shared" si="2"/>
        <v>8.9485458612975396E-2</v>
      </c>
      <c r="MQ10" s="145">
        <f t="shared" si="2"/>
        <v>-0.31211498973305957</v>
      </c>
      <c r="MR10" s="145">
        <f t="shared" si="2"/>
        <v>-4.4776119402985072E-2</v>
      </c>
      <c r="MS10" s="145">
        <f>(EZ10-EY10)/EY10</f>
        <v>0.11560693641618497</v>
      </c>
      <c r="MT10" s="145">
        <f t="shared" si="3"/>
        <v>0.10362694300518134</v>
      </c>
      <c r="MU10" s="145">
        <f t="shared" si="3"/>
        <v>-9.03954802259887E-2</v>
      </c>
      <c r="MV10" s="145">
        <f t="shared" si="3"/>
        <v>3.1021897810218978E-2</v>
      </c>
      <c r="MW10" s="145">
        <f t="shared" si="3"/>
        <v>8.5141903171953262E-2</v>
      </c>
      <c r="MX10" s="145">
        <f t="shared" si="3"/>
        <v>-0.12593984962406016</v>
      </c>
      <c r="MY10" s="145">
        <f t="shared" si="3"/>
        <v>0.16614420062695925</v>
      </c>
      <c r="MZ10" s="145">
        <f t="shared" si="3"/>
        <v>-0.28370221327967809</v>
      </c>
      <c r="NA10" s="145">
        <f t="shared" si="3"/>
        <v>0.11091234347048301</v>
      </c>
      <c r="NB10" s="145">
        <f t="shared" si="3"/>
        <v>0.13198757763975155</v>
      </c>
      <c r="NC10" s="145">
        <f t="shared" si="3"/>
        <v>-3.1152647975077881E-3</v>
      </c>
      <c r="ND10" s="145">
        <f t="shared" si="3"/>
        <v>-1.7432646592709985E-2</v>
      </c>
      <c r="NE10" s="145">
        <f t="shared" si="3"/>
        <v>-5.3422370617696162E-2</v>
      </c>
      <c r="NF10" s="145">
        <f t="shared" si="3"/>
        <v>-0.15192307692307691</v>
      </c>
      <c r="NG10" s="145">
        <f t="shared" si="3"/>
        <v>-9.2436974789915971E-2</v>
      </c>
      <c r="NH10" s="145">
        <f t="shared" si="3"/>
        <v>2.0576131687242798E-2</v>
      </c>
      <c r="NI10" s="145">
        <f t="shared" si="3"/>
        <v>-0.11724137931034483</v>
      </c>
      <c r="NJ10" s="145">
        <f t="shared" si="4"/>
        <v>0.12474849094567404</v>
      </c>
      <c r="NK10" s="145">
        <f t="shared" si="4"/>
        <v>0</v>
      </c>
      <c r="NL10" s="145">
        <f t="shared" si="4"/>
        <v>-0.28092783505154639</v>
      </c>
      <c r="NM10" s="145">
        <f t="shared" si="4"/>
        <v>9.5571095571095568E-2</v>
      </c>
      <c r="NN10" s="145">
        <f t="shared" si="4"/>
        <v>0.17499999999999999</v>
      </c>
      <c r="NO10" s="145">
        <f t="shared" si="4"/>
        <v>-5.2631578947368418E-2</v>
      </c>
      <c r="NP10" s="145">
        <f t="shared" si="4"/>
        <v>-1.0224948875255624E-2</v>
      </c>
      <c r="NQ10" s="145">
        <f t="shared" si="4"/>
        <v>-0.16428571428571428</v>
      </c>
      <c r="NR10" s="145">
        <f t="shared" si="4"/>
        <v>-0.54981549815498154</v>
      </c>
      <c r="NS10" s="145">
        <f t="shared" si="4"/>
        <v>0.15838509316770186</v>
      </c>
      <c r="NT10" s="145">
        <f t="shared" si="4"/>
        <v>-0.11805555555555555</v>
      </c>
      <c r="NU10" s="145">
        <f t="shared" si="4"/>
        <v>-3.9711191335740074E-2</v>
      </c>
      <c r="NV10" s="145">
        <f t="shared" si="4"/>
        <v>-3.7453183520599252E-2</v>
      </c>
      <c r="NW10" s="145">
        <f t="shared" si="4"/>
        <v>-0.12658227848101267</v>
      </c>
      <c r="NX10" s="145">
        <f t="shared" si="5"/>
        <v>-0.15048543689320387</v>
      </c>
      <c r="NY10" s="145">
        <f t="shared" si="5"/>
        <v>0.2342007434944238</v>
      </c>
      <c r="NZ10" s="145">
        <f t="shared" si="5"/>
        <v>0.35491606714628299</v>
      </c>
      <c r="OA10" s="145">
        <f t="shared" si="5"/>
        <v>-0.30721003134796238</v>
      </c>
      <c r="OB10" s="145">
        <f t="shared" si="5"/>
        <v>0.29735682819383258</v>
      </c>
      <c r="OC10" s="145">
        <f t="shared" si="5"/>
        <v>-2.7149321266968326E-2</v>
      </c>
      <c r="OD10" s="145">
        <f t="shared" si="5"/>
        <v>-0.41214057507987223</v>
      </c>
      <c r="OE10" s="145">
        <f t="shared" si="5"/>
        <v>6.2874251497005984E-2</v>
      </c>
      <c r="OF10" s="145">
        <f t="shared" si="5"/>
        <v>-0.22344322344322345</v>
      </c>
      <c r="OG10" s="145">
        <f t="shared" si="5"/>
        <v>-2.6315789473684209E-2</v>
      </c>
      <c r="OH10" s="145">
        <f t="shared" si="5"/>
        <v>3.272727272727273E-2</v>
      </c>
      <c r="OI10" s="145">
        <f t="shared" si="5"/>
        <v>-2.9962546816479401E-2</v>
      </c>
      <c r="OJ10" s="145">
        <f t="shared" si="5"/>
        <v>-9.4262295081967207E-2</v>
      </c>
      <c r="OK10" s="145">
        <f t="shared" si="5"/>
        <v>0.24691358024691357</v>
      </c>
      <c r="OL10" s="145">
        <f t="shared" si="5"/>
        <v>6.0869565217391307E-2</v>
      </c>
    </row>
    <row r="11" spans="1:402" s="145" customFormat="1" ht="19.5" customHeight="1" x14ac:dyDescent="0.35">
      <c r="A11" s="12" t="s">
        <v>34</v>
      </c>
      <c r="B11" s="156">
        <f>'[1]Sept 07'!C51</f>
        <v>178</v>
      </c>
      <c r="C11" s="156">
        <f>'[1]Oct 07'!C51</f>
        <v>199</v>
      </c>
      <c r="D11" s="156">
        <f>'[1]Nov 07'!C51</f>
        <v>155</v>
      </c>
      <c r="E11" s="156">
        <f>'[1]Dec 07'!C51</f>
        <v>327</v>
      </c>
      <c r="F11" s="156">
        <f>'[1]Jan 08'!C51</f>
        <v>158</v>
      </c>
      <c r="G11" s="143">
        <f>'[1]Feb 08'!C51</f>
        <v>134</v>
      </c>
      <c r="H11" s="143">
        <f>'[1]Mar 08'!C51</f>
        <v>188</v>
      </c>
      <c r="I11" s="143">
        <v>184</v>
      </c>
      <c r="J11" s="143">
        <f>'[1]May 08'!C51</f>
        <v>223</v>
      </c>
      <c r="K11" s="143">
        <f>'[1]Jun 08'!C51</f>
        <v>253</v>
      </c>
      <c r="L11" s="143">
        <f>'[1]Jul 08'!C51</f>
        <v>183</v>
      </c>
      <c r="M11" s="143">
        <f>'[1]Aug 08'!C51</f>
        <v>180</v>
      </c>
      <c r="N11" s="143">
        <v>229</v>
      </c>
      <c r="O11" s="143">
        <v>197</v>
      </c>
      <c r="P11" s="143">
        <v>149</v>
      </c>
      <c r="Q11" s="143">
        <v>343</v>
      </c>
      <c r="R11" s="143">
        <v>183</v>
      </c>
      <c r="S11" s="143">
        <v>131</v>
      </c>
      <c r="T11" s="143">
        <v>173</v>
      </c>
      <c r="U11" s="143">
        <v>159</v>
      </c>
      <c r="V11" s="143">
        <v>183</v>
      </c>
      <c r="W11" s="143">
        <v>218</v>
      </c>
      <c r="X11" s="143">
        <v>150</v>
      </c>
      <c r="Y11" s="143">
        <v>110</v>
      </c>
      <c r="Z11" s="143">
        <v>113</v>
      </c>
      <c r="AA11" s="143">
        <v>121</v>
      </c>
      <c r="AB11" s="143">
        <v>93</v>
      </c>
      <c r="AC11" s="143">
        <v>197</v>
      </c>
      <c r="AD11" s="143">
        <v>85</v>
      </c>
      <c r="AE11" s="143">
        <v>77</v>
      </c>
      <c r="AF11" s="143">
        <v>88</v>
      </c>
      <c r="AG11" s="143">
        <v>96</v>
      </c>
      <c r="AH11" s="143">
        <v>139</v>
      </c>
      <c r="AI11" s="143">
        <v>151</v>
      </c>
      <c r="AJ11" s="143">
        <v>95</v>
      </c>
      <c r="AK11" s="143">
        <v>93</v>
      </c>
      <c r="AL11" s="143">
        <v>87</v>
      </c>
      <c r="AM11" s="143">
        <v>94</v>
      </c>
      <c r="AN11" s="143">
        <v>64</v>
      </c>
      <c r="AO11" s="143">
        <v>72</v>
      </c>
      <c r="AP11" s="143">
        <v>87</v>
      </c>
      <c r="AQ11" s="143">
        <v>55</v>
      </c>
      <c r="AR11" s="143">
        <v>70</v>
      </c>
      <c r="AS11" s="143">
        <v>72</v>
      </c>
      <c r="AT11" s="143">
        <v>101</v>
      </c>
      <c r="AU11" s="143">
        <v>105</v>
      </c>
      <c r="AV11" s="143">
        <v>51</v>
      </c>
      <c r="AW11" s="143">
        <v>42</v>
      </c>
      <c r="AX11" s="143">
        <v>45</v>
      </c>
      <c r="AY11" s="143">
        <v>45</v>
      </c>
      <c r="AZ11" s="143">
        <v>36</v>
      </c>
      <c r="BA11" s="143">
        <v>84</v>
      </c>
      <c r="BB11" s="143">
        <v>47</v>
      </c>
      <c r="BC11" s="143">
        <v>29</v>
      </c>
      <c r="BD11" s="143">
        <v>23</v>
      </c>
      <c r="BE11" s="143">
        <v>32</v>
      </c>
      <c r="BF11" s="143">
        <v>71</v>
      </c>
      <c r="BG11" s="143">
        <v>42</v>
      </c>
      <c r="BH11" s="143">
        <v>47</v>
      </c>
      <c r="BI11" s="143">
        <v>35</v>
      </c>
      <c r="BJ11" s="143">
        <v>44</v>
      </c>
      <c r="BK11" s="143">
        <v>34</v>
      </c>
      <c r="BL11" s="143">
        <v>24</v>
      </c>
      <c r="BM11" s="143">
        <v>80</v>
      </c>
      <c r="BN11" s="143">
        <v>30</v>
      </c>
      <c r="BO11" s="143">
        <v>26</v>
      </c>
      <c r="BP11" s="143">
        <v>27</v>
      </c>
      <c r="BQ11" s="143">
        <v>34</v>
      </c>
      <c r="BR11" s="143">
        <v>66</v>
      </c>
      <c r="BS11" s="143">
        <v>51</v>
      </c>
      <c r="BT11" s="143">
        <v>36</v>
      </c>
      <c r="BU11" s="143">
        <v>34</v>
      </c>
      <c r="BV11" s="143">
        <v>39</v>
      </c>
      <c r="BW11" s="143">
        <v>30</v>
      </c>
      <c r="BX11" s="143">
        <v>43</v>
      </c>
      <c r="BY11" s="143">
        <v>85</v>
      </c>
      <c r="BZ11" s="143">
        <v>46</v>
      </c>
      <c r="CA11" s="143">
        <v>48</v>
      </c>
      <c r="CB11" s="143">
        <v>61</v>
      </c>
      <c r="CC11" s="143">
        <v>63</v>
      </c>
      <c r="CD11" s="143">
        <v>105</v>
      </c>
      <c r="CE11" s="143">
        <v>106</v>
      </c>
      <c r="CF11" s="143">
        <v>70</v>
      </c>
      <c r="CG11" s="143">
        <v>51</v>
      </c>
      <c r="CH11" s="143">
        <v>84</v>
      </c>
      <c r="CI11" s="143">
        <v>57</v>
      </c>
      <c r="CJ11" s="143">
        <v>52</v>
      </c>
      <c r="CK11" s="143">
        <v>115</v>
      </c>
      <c r="CL11" s="143">
        <v>49</v>
      </c>
      <c r="CM11" s="143">
        <v>51</v>
      </c>
      <c r="CN11" s="143">
        <v>55</v>
      </c>
      <c r="CO11" s="143">
        <v>64</v>
      </c>
      <c r="CP11" s="143">
        <v>90</v>
      </c>
      <c r="CQ11" s="143">
        <v>115</v>
      </c>
      <c r="CR11" s="143">
        <v>67</v>
      </c>
      <c r="CS11" s="143">
        <v>58</v>
      </c>
      <c r="CT11" s="143">
        <v>54</v>
      </c>
      <c r="CU11" s="143">
        <v>42</v>
      </c>
      <c r="CV11" s="143">
        <v>42</v>
      </c>
      <c r="CW11" s="143">
        <v>106</v>
      </c>
      <c r="CX11" s="143">
        <v>33</v>
      </c>
      <c r="CY11" s="143">
        <v>41</v>
      </c>
      <c r="CZ11" s="143">
        <v>52</v>
      </c>
      <c r="DA11" s="143">
        <v>73</v>
      </c>
      <c r="DB11" s="143">
        <v>77</v>
      </c>
      <c r="DC11" s="143">
        <v>116</v>
      </c>
      <c r="DD11" s="143">
        <v>77</v>
      </c>
      <c r="DE11" s="143">
        <v>53</v>
      </c>
      <c r="DF11" s="143">
        <v>52</v>
      </c>
      <c r="DG11" s="143">
        <v>51</v>
      </c>
      <c r="DH11" s="143">
        <v>43</v>
      </c>
      <c r="DI11" s="143">
        <v>105</v>
      </c>
      <c r="DJ11" s="143">
        <v>56</v>
      </c>
      <c r="DK11" s="143">
        <v>32</v>
      </c>
      <c r="DL11" s="143">
        <v>44</v>
      </c>
      <c r="DM11" s="143">
        <v>65</v>
      </c>
      <c r="DN11" s="143">
        <v>97</v>
      </c>
      <c r="DO11" s="143">
        <v>99</v>
      </c>
      <c r="DP11" s="143">
        <v>75</v>
      </c>
      <c r="DQ11" s="143">
        <v>45</v>
      </c>
      <c r="DR11" s="143">
        <v>56</v>
      </c>
      <c r="DS11" s="143">
        <v>35</v>
      </c>
      <c r="DT11" s="143">
        <v>39</v>
      </c>
      <c r="DU11" s="143">
        <v>88</v>
      </c>
      <c r="DV11" s="143">
        <v>42</v>
      </c>
      <c r="DW11" s="143">
        <v>45</v>
      </c>
      <c r="DX11" s="143">
        <v>40</v>
      </c>
      <c r="DY11" s="143">
        <v>49</v>
      </c>
      <c r="DZ11" s="143">
        <v>65</v>
      </c>
      <c r="EA11" s="143">
        <v>103</v>
      </c>
      <c r="EB11" s="143">
        <v>54</v>
      </c>
      <c r="EC11" s="143">
        <v>36</v>
      </c>
      <c r="ED11" s="143">
        <v>37</v>
      </c>
      <c r="EE11" s="143">
        <v>41</v>
      </c>
      <c r="EF11" s="143">
        <v>28</v>
      </c>
      <c r="EG11" s="143">
        <v>87</v>
      </c>
      <c r="EH11" s="143">
        <v>37</v>
      </c>
      <c r="EI11" s="143">
        <v>20</v>
      </c>
      <c r="EJ11" s="143">
        <v>38</v>
      </c>
      <c r="EK11" s="143">
        <v>57</v>
      </c>
      <c r="EL11" s="143">
        <v>41</v>
      </c>
      <c r="EM11" s="143">
        <v>76</v>
      </c>
      <c r="EN11" s="143">
        <v>63</v>
      </c>
      <c r="EO11" s="143">
        <v>40</v>
      </c>
      <c r="EP11" s="143">
        <v>28</v>
      </c>
      <c r="EQ11" s="143">
        <v>25</v>
      </c>
      <c r="ER11" s="143">
        <v>21</v>
      </c>
      <c r="ES11" s="143">
        <v>53</v>
      </c>
      <c r="ET11" s="143">
        <v>36</v>
      </c>
      <c r="EU11" s="143">
        <v>15</v>
      </c>
      <c r="EV11" s="143">
        <v>26</v>
      </c>
      <c r="EW11" s="143">
        <v>26</v>
      </c>
      <c r="EX11" s="143">
        <v>40</v>
      </c>
      <c r="EY11" s="143">
        <v>21</v>
      </c>
      <c r="EZ11" s="143">
        <v>28</v>
      </c>
      <c r="FA11" s="143">
        <v>20</v>
      </c>
      <c r="FB11" s="143">
        <v>26</v>
      </c>
      <c r="FC11" s="143">
        <v>15</v>
      </c>
      <c r="FD11" s="143">
        <v>15</v>
      </c>
      <c r="FE11" s="143">
        <v>28</v>
      </c>
      <c r="FF11" s="143">
        <v>14</v>
      </c>
      <c r="FG11" s="143">
        <v>10</v>
      </c>
      <c r="FH11" s="143">
        <v>8</v>
      </c>
      <c r="FI11" s="143">
        <v>8</v>
      </c>
      <c r="FJ11" s="143">
        <v>16</v>
      </c>
      <c r="FK11" s="143">
        <v>13</v>
      </c>
      <c r="FL11" s="143">
        <v>16</v>
      </c>
      <c r="FM11" s="143">
        <v>17</v>
      </c>
      <c r="FN11" s="143">
        <v>12</v>
      </c>
      <c r="FO11" s="143">
        <v>18</v>
      </c>
      <c r="FP11" s="143">
        <v>9</v>
      </c>
      <c r="FQ11" s="143">
        <v>20</v>
      </c>
      <c r="FR11" s="143">
        <v>13</v>
      </c>
      <c r="FS11" s="143">
        <v>4</v>
      </c>
      <c r="FT11" s="143">
        <v>13</v>
      </c>
      <c r="FU11" s="143">
        <v>20</v>
      </c>
      <c r="FV11" s="143">
        <v>17</v>
      </c>
      <c r="FW11" s="143">
        <v>24</v>
      </c>
      <c r="FX11" s="143">
        <v>31</v>
      </c>
      <c r="FY11" s="143">
        <v>51</v>
      </c>
      <c r="FZ11" s="143">
        <v>39</v>
      </c>
      <c r="GA11" s="143">
        <v>34</v>
      </c>
      <c r="GB11" s="143">
        <v>43</v>
      </c>
      <c r="GC11" s="143">
        <v>88</v>
      </c>
      <c r="GD11" s="143">
        <v>34</v>
      </c>
      <c r="GE11" s="143">
        <v>28</v>
      </c>
      <c r="GF11" s="143">
        <v>30</v>
      </c>
      <c r="GG11" s="143">
        <v>32</v>
      </c>
      <c r="GH11" s="143">
        <v>37</v>
      </c>
      <c r="GI11" s="143">
        <v>44</v>
      </c>
      <c r="GJ11" s="143">
        <v>36</v>
      </c>
      <c r="GK11" s="143">
        <v>31</v>
      </c>
      <c r="GL11" s="143">
        <v>23</v>
      </c>
      <c r="GM11" s="143">
        <v>25</v>
      </c>
      <c r="GN11" s="143">
        <v>17</v>
      </c>
      <c r="GO11" s="143">
        <v>79</v>
      </c>
      <c r="GP11" s="143">
        <v>19</v>
      </c>
      <c r="GQ11" s="143">
        <v>12</v>
      </c>
      <c r="GR11" s="143">
        <v>31</v>
      </c>
      <c r="GS11" s="143">
        <f t="shared" si="6"/>
        <v>32.166666666666664</v>
      </c>
      <c r="GT11" s="152"/>
      <c r="GU11" s="12" t="s">
        <v>34</v>
      </c>
      <c r="GV11" s="145" t="s">
        <v>30</v>
      </c>
      <c r="GW11" s="145">
        <f t="shared" si="7"/>
        <v>0.11797752808988764</v>
      </c>
      <c r="GX11" s="145">
        <f t="shared" si="7"/>
        <v>-0.22110552763819097</v>
      </c>
      <c r="GY11" s="145">
        <f t="shared" si="7"/>
        <v>1.1096774193548387</v>
      </c>
      <c r="GZ11" s="145">
        <f t="shared" si="7"/>
        <v>-0.51681957186544347</v>
      </c>
      <c r="HA11" s="145">
        <f t="shared" si="7"/>
        <v>-0.15189873417721519</v>
      </c>
      <c r="HB11" s="145">
        <f t="shared" si="7"/>
        <v>0.40298507462686567</v>
      </c>
      <c r="HC11" s="145">
        <f t="shared" si="7"/>
        <v>-2.1276595744680851E-2</v>
      </c>
      <c r="HD11" s="145">
        <f t="shared" si="7"/>
        <v>0.21195652173913043</v>
      </c>
      <c r="HE11" s="145">
        <f t="shared" si="7"/>
        <v>0.13452914798206278</v>
      </c>
      <c r="HF11" s="145">
        <f t="shared" si="7"/>
        <v>-0.27667984189723321</v>
      </c>
      <c r="HG11" s="145">
        <f t="shared" si="7"/>
        <v>-1.6393442622950821E-2</v>
      </c>
      <c r="HH11" s="145">
        <f t="shared" si="7"/>
        <v>0.2722222222222222</v>
      </c>
      <c r="HI11" s="145">
        <f t="shared" si="7"/>
        <v>-0.13973799126637554</v>
      </c>
      <c r="HJ11" s="145">
        <f t="shared" si="7"/>
        <v>-0.24365482233502539</v>
      </c>
      <c r="HK11" s="145">
        <f t="shared" si="7"/>
        <v>1.3020134228187918</v>
      </c>
      <c r="HL11" s="145">
        <f t="shared" si="7"/>
        <v>-0.46647230320699706</v>
      </c>
      <c r="HM11" s="145">
        <f t="shared" si="8"/>
        <v>-0.28415300546448086</v>
      </c>
      <c r="HN11" s="145">
        <f t="shared" si="8"/>
        <v>0.32061068702290074</v>
      </c>
      <c r="HO11" s="145">
        <f t="shared" si="8"/>
        <v>-8.0924855491329481E-2</v>
      </c>
      <c r="HP11" s="145">
        <f t="shared" si="8"/>
        <v>0.15094339622641509</v>
      </c>
      <c r="HQ11" s="145">
        <f t="shared" si="8"/>
        <v>0.19125683060109289</v>
      </c>
      <c r="HR11" s="145">
        <f t="shared" si="8"/>
        <v>-0.31192660550458717</v>
      </c>
      <c r="HS11" s="145">
        <f t="shared" si="8"/>
        <v>-0.26666666666666666</v>
      </c>
      <c r="HT11" s="145">
        <f t="shared" si="8"/>
        <v>2.7272727272727271E-2</v>
      </c>
      <c r="HU11" s="145">
        <f t="shared" si="8"/>
        <v>7.0796460176991149E-2</v>
      </c>
      <c r="HV11" s="145">
        <f t="shared" si="8"/>
        <v>-0.23140495867768596</v>
      </c>
      <c r="HW11" s="145">
        <f t="shared" si="8"/>
        <v>1.118279569892473</v>
      </c>
      <c r="HX11" s="145">
        <f t="shared" si="8"/>
        <v>-0.56852791878172593</v>
      </c>
      <c r="HY11" s="145">
        <f t="shared" si="8"/>
        <v>-9.4117647058823528E-2</v>
      </c>
      <c r="HZ11" s="145">
        <f t="shared" si="8"/>
        <v>0.14285714285714285</v>
      </c>
      <c r="IA11" s="145">
        <f t="shared" si="8"/>
        <v>9.0909090909090912E-2</v>
      </c>
      <c r="IB11" s="145">
        <f t="shared" si="8"/>
        <v>0.44791666666666669</v>
      </c>
      <c r="IC11" s="145">
        <f t="shared" si="9"/>
        <v>8.6330935251798566E-2</v>
      </c>
      <c r="ID11" s="145">
        <f t="shared" si="9"/>
        <v>-0.37086092715231789</v>
      </c>
      <c r="IE11" s="145">
        <f t="shared" si="9"/>
        <v>-2.1052631578947368E-2</v>
      </c>
      <c r="IF11" s="145">
        <f t="shared" si="9"/>
        <v>-6.4516129032258063E-2</v>
      </c>
      <c r="IG11" s="145">
        <f t="shared" si="9"/>
        <v>8.0459770114942528E-2</v>
      </c>
      <c r="IH11" s="145">
        <f t="shared" si="9"/>
        <v>-0.31914893617021278</v>
      </c>
      <c r="II11" s="145">
        <f t="shared" si="9"/>
        <v>0.125</v>
      </c>
      <c r="IJ11" s="145">
        <f t="shared" si="9"/>
        <v>0.20833333333333334</v>
      </c>
      <c r="IK11" s="145">
        <f t="shared" si="9"/>
        <v>-0.36781609195402298</v>
      </c>
      <c r="IL11" s="145">
        <f t="shared" si="9"/>
        <v>0.27272727272727271</v>
      </c>
      <c r="IM11" s="145">
        <f t="shared" si="9"/>
        <v>2.8571428571428571E-2</v>
      </c>
      <c r="IN11" s="145">
        <f t="shared" si="9"/>
        <v>0.40277777777777779</v>
      </c>
      <c r="IO11" s="145">
        <f t="shared" si="9"/>
        <v>3.9603960396039604E-2</v>
      </c>
      <c r="IP11" s="145">
        <f t="shared" si="9"/>
        <v>-0.51428571428571423</v>
      </c>
      <c r="IQ11" s="145">
        <f t="shared" si="9"/>
        <v>-0.17647058823529413</v>
      </c>
      <c r="IR11" s="145">
        <f t="shared" si="9"/>
        <v>7.1428571428571425E-2</v>
      </c>
      <c r="IS11" s="145">
        <f t="shared" si="10"/>
        <v>0</v>
      </c>
      <c r="IT11" s="145">
        <f t="shared" si="10"/>
        <v>-0.2</v>
      </c>
      <c r="IU11" s="145">
        <f t="shared" si="10"/>
        <v>1.3333333333333333</v>
      </c>
      <c r="IV11" s="145">
        <f t="shared" si="10"/>
        <v>-0.44047619047619047</v>
      </c>
      <c r="IW11" s="145">
        <f t="shared" si="10"/>
        <v>-0.38297872340425532</v>
      </c>
      <c r="IX11" s="145">
        <f t="shared" si="10"/>
        <v>-0.20689655172413793</v>
      </c>
      <c r="IY11" s="145">
        <f t="shared" si="10"/>
        <v>0.39130434782608697</v>
      </c>
      <c r="IZ11" s="145">
        <f t="shared" si="10"/>
        <v>1.21875</v>
      </c>
      <c r="JA11" s="145">
        <f t="shared" si="10"/>
        <v>-0.40845070422535212</v>
      </c>
      <c r="JB11" s="145">
        <f t="shared" si="10"/>
        <v>0.11904761904761904</v>
      </c>
      <c r="JC11" s="145">
        <f t="shared" si="10"/>
        <v>-0.25531914893617019</v>
      </c>
      <c r="JD11" s="145">
        <f t="shared" si="10"/>
        <v>0.25714285714285712</v>
      </c>
      <c r="JE11" s="145">
        <f t="shared" si="10"/>
        <v>-0.22727272727272727</v>
      </c>
      <c r="JF11" s="145">
        <f t="shared" si="10"/>
        <v>-0.29411764705882354</v>
      </c>
      <c r="JG11" s="145">
        <f t="shared" si="10"/>
        <v>2.3333333333333335</v>
      </c>
      <c r="JH11" s="145">
        <f t="shared" si="10"/>
        <v>-0.625</v>
      </c>
      <c r="JI11" s="145">
        <f t="shared" si="11"/>
        <v>-0.13333333333333333</v>
      </c>
      <c r="JJ11" s="145">
        <f t="shared" si="11"/>
        <v>3.8461538461538464E-2</v>
      </c>
      <c r="JK11" s="145">
        <f t="shared" si="11"/>
        <v>0.25925925925925924</v>
      </c>
      <c r="JL11" s="145">
        <f t="shared" si="11"/>
        <v>0.94117647058823528</v>
      </c>
      <c r="JM11" s="145">
        <f t="shared" si="11"/>
        <v>-0.22727272727272727</v>
      </c>
      <c r="JN11" s="145">
        <f t="shared" si="11"/>
        <v>-0.29411764705882354</v>
      </c>
      <c r="JO11" s="145">
        <f t="shared" si="11"/>
        <v>-5.5555555555555552E-2</v>
      </c>
      <c r="JP11" s="145">
        <f t="shared" si="11"/>
        <v>0.14705882352941177</v>
      </c>
      <c r="JQ11" s="145">
        <f t="shared" si="11"/>
        <v>-0.23076923076923078</v>
      </c>
      <c r="JR11" s="145">
        <f t="shared" si="11"/>
        <v>0.43333333333333335</v>
      </c>
      <c r="JS11" s="145">
        <f t="shared" si="11"/>
        <v>0.97674418604651159</v>
      </c>
      <c r="JT11" s="145">
        <f t="shared" si="11"/>
        <v>-0.45882352941176469</v>
      </c>
      <c r="JU11" s="145">
        <f t="shared" si="11"/>
        <v>4.3478260869565216E-2</v>
      </c>
      <c r="JV11" s="145">
        <f t="shared" si="11"/>
        <v>0.27083333333333331</v>
      </c>
      <c r="JW11" s="145">
        <f t="shared" si="11"/>
        <v>3.2786885245901641E-2</v>
      </c>
      <c r="JX11" s="145">
        <f t="shared" si="11"/>
        <v>0.66666666666666663</v>
      </c>
      <c r="JY11" s="145">
        <f t="shared" si="12"/>
        <v>9.5238095238095247E-3</v>
      </c>
      <c r="JZ11" s="145">
        <f t="shared" si="12"/>
        <v>-0.33962264150943394</v>
      </c>
      <c r="KA11" s="145">
        <f t="shared" si="12"/>
        <v>-0.27142857142857141</v>
      </c>
      <c r="KB11" s="145">
        <f t="shared" si="12"/>
        <v>0.6470588235294118</v>
      </c>
      <c r="KC11" s="145">
        <f t="shared" si="12"/>
        <v>-0.32142857142857145</v>
      </c>
      <c r="KD11" s="145">
        <f t="shared" si="12"/>
        <v>-8.771929824561403E-2</v>
      </c>
      <c r="KE11" s="145">
        <f t="shared" si="12"/>
        <v>1.2115384615384615</v>
      </c>
      <c r="KF11" s="145">
        <f t="shared" si="12"/>
        <v>-0.57391304347826089</v>
      </c>
      <c r="KG11" s="145">
        <f t="shared" si="12"/>
        <v>4.0816326530612242E-2</v>
      </c>
      <c r="KH11" s="145">
        <f t="shared" si="12"/>
        <v>7.8431372549019607E-2</v>
      </c>
      <c r="KI11" s="145">
        <f t="shared" si="12"/>
        <v>0.16363636363636364</v>
      </c>
      <c r="KJ11" s="145">
        <f t="shared" si="12"/>
        <v>0.40625</v>
      </c>
      <c r="KK11" s="145">
        <f t="shared" si="12"/>
        <v>0.27777777777777779</v>
      </c>
      <c r="KL11" s="145">
        <f t="shared" si="12"/>
        <v>-0.41739130434782606</v>
      </c>
      <c r="KM11" s="145">
        <f t="shared" si="12"/>
        <v>-0.13432835820895522</v>
      </c>
      <c r="KN11" s="145">
        <f t="shared" si="12"/>
        <v>-6.8965517241379309E-2</v>
      </c>
      <c r="KO11" s="145">
        <f t="shared" si="13"/>
        <v>-0.22222222222222221</v>
      </c>
      <c r="KP11" s="145">
        <f t="shared" si="13"/>
        <v>0</v>
      </c>
      <c r="KQ11" s="145">
        <f t="shared" si="13"/>
        <v>1.5238095238095237</v>
      </c>
      <c r="KR11" s="145">
        <f t="shared" si="13"/>
        <v>-0.68867924528301883</v>
      </c>
      <c r="KS11" s="145">
        <f t="shared" si="13"/>
        <v>0.24242424242424243</v>
      </c>
      <c r="KT11" s="145">
        <f t="shared" si="13"/>
        <v>0.26829268292682928</v>
      </c>
      <c r="KU11" s="145">
        <f t="shared" si="13"/>
        <v>0.40384615384615385</v>
      </c>
      <c r="KV11" s="145">
        <f t="shared" si="13"/>
        <v>5.4794520547945202E-2</v>
      </c>
      <c r="KW11" s="145">
        <f t="shared" si="13"/>
        <v>0.50649350649350644</v>
      </c>
      <c r="KX11" s="145">
        <f t="shared" si="13"/>
        <v>-0.33620689655172414</v>
      </c>
      <c r="KY11" s="145">
        <f t="shared" si="13"/>
        <v>-0.31168831168831168</v>
      </c>
      <c r="KZ11" s="145">
        <f t="shared" si="13"/>
        <v>-1.8867924528301886E-2</v>
      </c>
      <c r="LA11" s="145">
        <f t="shared" si="13"/>
        <v>-1.9230769230769232E-2</v>
      </c>
      <c r="LB11" s="145">
        <f t="shared" si="13"/>
        <v>-0.15686274509803921</v>
      </c>
      <c r="LC11" s="145">
        <f t="shared" si="13"/>
        <v>1.441860465116279</v>
      </c>
      <c r="LD11" s="145">
        <f t="shared" si="13"/>
        <v>-0.46666666666666667</v>
      </c>
      <c r="LE11" s="145">
        <f t="shared" si="1"/>
        <v>-0.42857142857142855</v>
      </c>
      <c r="LF11" s="145">
        <f t="shared" si="1"/>
        <v>0.375</v>
      </c>
      <c r="LG11" s="145">
        <f t="shared" si="1"/>
        <v>0.47727272727272729</v>
      </c>
      <c r="LH11" s="145">
        <f t="shared" si="1"/>
        <v>0.49230769230769234</v>
      </c>
      <c r="LI11" s="145">
        <f t="shared" si="1"/>
        <v>2.0618556701030927E-2</v>
      </c>
      <c r="LJ11" s="145">
        <f t="shared" si="1"/>
        <v>-0.24242424242424243</v>
      </c>
      <c r="LK11" s="145">
        <f t="shared" si="1"/>
        <v>-0.4</v>
      </c>
      <c r="LL11" s="145">
        <f t="shared" si="1"/>
        <v>0.24444444444444444</v>
      </c>
      <c r="LM11" s="145">
        <f t="shared" si="1"/>
        <v>-0.375</v>
      </c>
      <c r="LN11" s="145">
        <f t="shared" si="1"/>
        <v>0.11428571428571428</v>
      </c>
      <c r="LO11" s="145">
        <f t="shared" si="1"/>
        <v>1.2564102564102564</v>
      </c>
      <c r="LP11" s="145">
        <f t="shared" si="1"/>
        <v>-0.52272727272727271</v>
      </c>
      <c r="LQ11" s="145">
        <f t="shared" si="1"/>
        <v>7.1428571428571425E-2</v>
      </c>
      <c r="LR11" s="145">
        <f t="shared" si="1"/>
        <v>-0.1111111111111111</v>
      </c>
      <c r="LS11" s="145">
        <f t="shared" si="1"/>
        <v>0.22500000000000001</v>
      </c>
      <c r="LT11" s="145">
        <f t="shared" si="1"/>
        <v>0.32653061224489793</v>
      </c>
      <c r="LU11" s="145">
        <f t="shared" si="2"/>
        <v>0.58461538461538465</v>
      </c>
      <c r="LV11" s="145">
        <f t="shared" si="2"/>
        <v>-0.47572815533980584</v>
      </c>
      <c r="LW11" s="145">
        <f t="shared" si="2"/>
        <v>-0.33333333333333331</v>
      </c>
      <c r="LX11" s="145">
        <f t="shared" si="2"/>
        <v>2.7777777777777776E-2</v>
      </c>
      <c r="LY11" s="145">
        <f t="shared" si="2"/>
        <v>0.10810810810810811</v>
      </c>
      <c r="LZ11" s="145">
        <f t="shared" si="2"/>
        <v>-0.31707317073170732</v>
      </c>
      <c r="MA11" s="145">
        <f t="shared" si="2"/>
        <v>2.1071428571428572</v>
      </c>
      <c r="MB11" s="145">
        <f t="shared" si="2"/>
        <v>-0.57471264367816088</v>
      </c>
      <c r="MC11" s="145">
        <f t="shared" si="2"/>
        <v>-0.45945945945945948</v>
      </c>
      <c r="MD11" s="145">
        <f t="shared" si="2"/>
        <v>0.9</v>
      </c>
      <c r="ME11" s="145">
        <f t="shared" si="2"/>
        <v>0.5</v>
      </c>
      <c r="MF11" s="145">
        <f t="shared" si="2"/>
        <v>-0.2807017543859649</v>
      </c>
      <c r="MG11" s="145">
        <f t="shared" si="2"/>
        <v>0.85365853658536583</v>
      </c>
      <c r="MH11" s="145">
        <f t="shared" si="2"/>
        <v>-0.17105263157894737</v>
      </c>
      <c r="MI11" s="145">
        <f t="shared" si="2"/>
        <v>-0.36507936507936506</v>
      </c>
      <c r="MJ11" s="145">
        <f t="shared" si="2"/>
        <v>-0.3</v>
      </c>
      <c r="MK11" s="145">
        <f t="shared" si="2"/>
        <v>-0.10714285714285714</v>
      </c>
      <c r="ML11" s="145">
        <f t="shared" si="2"/>
        <v>-0.16</v>
      </c>
      <c r="MM11" s="145">
        <f t="shared" si="2"/>
        <v>1.5238095238095237</v>
      </c>
      <c r="MN11" s="145">
        <f t="shared" si="2"/>
        <v>-0.32075471698113206</v>
      </c>
      <c r="MO11" s="145">
        <f t="shared" si="2"/>
        <v>-0.58333333333333337</v>
      </c>
      <c r="MP11" s="145">
        <f t="shared" si="2"/>
        <v>0.73333333333333328</v>
      </c>
      <c r="MQ11" s="145">
        <f t="shared" si="2"/>
        <v>0</v>
      </c>
      <c r="MR11" s="145">
        <f t="shared" si="2"/>
        <v>0.53846153846153844</v>
      </c>
      <c r="MS11" s="145">
        <f>(EZ11-EY11)/EY11</f>
        <v>0.33333333333333331</v>
      </c>
      <c r="MT11" s="145">
        <f t="shared" si="3"/>
        <v>0.25</v>
      </c>
      <c r="MU11" s="145">
        <f t="shared" si="3"/>
        <v>-0.4</v>
      </c>
      <c r="MV11" s="145">
        <f t="shared" si="3"/>
        <v>0.23076923076923078</v>
      </c>
      <c r="MW11" s="145">
        <f t="shared" si="3"/>
        <v>-0.73333333333333328</v>
      </c>
      <c r="MX11" s="145">
        <f t="shared" si="3"/>
        <v>0</v>
      </c>
      <c r="MY11" s="145">
        <f t="shared" si="3"/>
        <v>0.4642857142857143</v>
      </c>
      <c r="MZ11" s="145">
        <f t="shared" si="3"/>
        <v>-1</v>
      </c>
      <c r="NA11" s="145">
        <f t="shared" si="3"/>
        <v>-0.4</v>
      </c>
      <c r="NB11" s="145">
        <f t="shared" si="3"/>
        <v>-0.25</v>
      </c>
      <c r="NC11" s="145">
        <f t="shared" si="3"/>
        <v>0</v>
      </c>
      <c r="ND11" s="145">
        <f t="shared" si="3"/>
        <v>0.5</v>
      </c>
      <c r="NE11" s="145">
        <f t="shared" si="3"/>
        <v>-0.23076923076923078</v>
      </c>
      <c r="NF11" s="145">
        <f t="shared" si="3"/>
        <v>0.1875</v>
      </c>
      <c r="NG11" s="145">
        <f t="shared" si="3"/>
        <v>5.8823529411764705E-2</v>
      </c>
      <c r="NH11" s="145">
        <f t="shared" si="3"/>
        <v>-0.41666666666666669</v>
      </c>
      <c r="NI11" s="145">
        <f t="shared" si="3"/>
        <v>0.33333333333333331</v>
      </c>
      <c r="NJ11" s="145">
        <f t="shared" si="4"/>
        <v>-1</v>
      </c>
      <c r="NK11" s="145">
        <f t="shared" si="4"/>
        <v>0.55000000000000004</v>
      </c>
      <c r="NL11" s="145">
        <f t="shared" si="4"/>
        <v>-0.53846153846153844</v>
      </c>
      <c r="NM11" s="145">
        <f t="shared" si="4"/>
        <v>-2.25</v>
      </c>
      <c r="NN11" s="145">
        <f t="shared" si="4"/>
        <v>0.69230769230769229</v>
      </c>
      <c r="NO11" s="145">
        <f t="shared" si="4"/>
        <v>0.35</v>
      </c>
      <c r="NP11" s="145">
        <f t="shared" si="4"/>
        <v>-0.17647058823529413</v>
      </c>
      <c r="NQ11" s="145">
        <f t="shared" si="4"/>
        <v>0.29166666666666669</v>
      </c>
      <c r="NR11" s="145">
        <f t="shared" si="4"/>
        <v>0.22580645161290322</v>
      </c>
      <c r="NS11" s="145">
        <f t="shared" si="4"/>
        <v>0.39215686274509803</v>
      </c>
      <c r="NT11" s="145">
        <f t="shared" si="4"/>
        <v>-0.30769230769230771</v>
      </c>
      <c r="NU11" s="145">
        <f t="shared" si="4"/>
        <v>-0.14705882352941177</v>
      </c>
      <c r="NV11" s="145">
        <f t="shared" si="4"/>
        <v>0.20930232558139536</v>
      </c>
      <c r="NW11" s="145">
        <f t="shared" si="4"/>
        <v>0.51136363636363635</v>
      </c>
      <c r="NX11" s="145">
        <f t="shared" si="5"/>
        <v>-1.588235294117647</v>
      </c>
      <c r="NY11" s="145">
        <f t="shared" si="5"/>
        <v>-0.21428571428571427</v>
      </c>
      <c r="NZ11" s="145">
        <f t="shared" si="5"/>
        <v>6.6666666666666666E-2</v>
      </c>
      <c r="OA11" s="145">
        <f t="shared" si="5"/>
        <v>6.25E-2</v>
      </c>
      <c r="OB11" s="145">
        <f t="shared" si="5"/>
        <v>0.13513513513513514</v>
      </c>
      <c r="OC11" s="145">
        <f t="shared" si="5"/>
        <v>0.15909090909090909</v>
      </c>
      <c r="OD11" s="145">
        <f t="shared" si="5"/>
        <v>-0.22222222222222221</v>
      </c>
      <c r="OE11" s="145">
        <f t="shared" si="5"/>
        <v>-0.16129032258064516</v>
      </c>
      <c r="OF11" s="145">
        <f t="shared" si="5"/>
        <v>-0.34782608695652173</v>
      </c>
      <c r="OG11" s="145">
        <f t="shared" si="5"/>
        <v>0.08</v>
      </c>
      <c r="OH11" s="145">
        <f t="shared" si="5"/>
        <v>-0.47058823529411764</v>
      </c>
      <c r="OI11" s="145">
        <f t="shared" si="5"/>
        <v>0.78481012658227844</v>
      </c>
      <c r="OJ11" s="145">
        <f t="shared" si="5"/>
        <v>-3.1578947368421053</v>
      </c>
      <c r="OK11" s="145">
        <f t="shared" si="5"/>
        <v>-0.58333333333333337</v>
      </c>
      <c r="OL11" s="145">
        <f t="shared" si="5"/>
        <v>0.61290322580645162</v>
      </c>
    </row>
    <row r="12" spans="1:402" x14ac:dyDescent="0.35">
      <c r="B12" s="23"/>
      <c r="C12" s="23"/>
      <c r="D12" s="23"/>
      <c r="E12" s="23"/>
      <c r="F12" s="23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143"/>
      <c r="GV12" s="25"/>
      <c r="GW12" s="25"/>
      <c r="GX12" s="25"/>
      <c r="GY12" s="25"/>
    </row>
    <row r="14" spans="1:402" ht="16" thickBot="1" x14ac:dyDescent="0.4">
      <c r="A14" s="12" t="s">
        <v>35</v>
      </c>
      <c r="GU14" s="12" t="s">
        <v>36</v>
      </c>
    </row>
    <row r="15" spans="1:402" x14ac:dyDescent="0.35">
      <c r="B15" s="13">
        <v>2007</v>
      </c>
      <c r="C15" s="13"/>
      <c r="D15" s="13"/>
      <c r="E15" s="14"/>
      <c r="F15" s="15">
        <v>2008</v>
      </c>
      <c r="G15" s="16"/>
      <c r="H15" s="17"/>
      <c r="I15" s="16"/>
      <c r="J15" s="16"/>
      <c r="K15" s="16"/>
      <c r="L15" s="18"/>
      <c r="M15" s="18"/>
      <c r="N15" s="18"/>
      <c r="O15" s="18"/>
      <c r="P15" s="18"/>
      <c r="Q15" s="18"/>
      <c r="R15" s="19">
        <v>2009</v>
      </c>
      <c r="S15" s="19"/>
      <c r="T15" s="19"/>
      <c r="U15" s="19"/>
      <c r="V15" s="16"/>
      <c r="W15" s="16"/>
      <c r="X15" s="16"/>
      <c r="Y15" s="16"/>
      <c r="Z15" s="16"/>
      <c r="AA15" s="16"/>
      <c r="AB15" s="16"/>
      <c r="AC15" s="16"/>
      <c r="AD15" s="19">
        <v>2010</v>
      </c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>
        <v>2011</v>
      </c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9">
        <v>2012</v>
      </c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9">
        <v>2013</v>
      </c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>
        <v>2014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>
        <v>2015</v>
      </c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9">
        <v>2016</v>
      </c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9">
        <v>2017</v>
      </c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>
        <v>2018</v>
      </c>
      <c r="DW15" s="19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9">
        <v>2019</v>
      </c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9">
        <v>2020</v>
      </c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9">
        <v>2021</v>
      </c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>
        <v>2022</v>
      </c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>
        <v>2023</v>
      </c>
      <c r="GE15" s="19"/>
      <c r="GF15" s="16"/>
      <c r="GG15" s="19">
        <v>2023</v>
      </c>
      <c r="GH15" s="16"/>
      <c r="GI15" s="16"/>
      <c r="GJ15" s="16"/>
      <c r="GK15" s="16"/>
      <c r="GL15" s="16"/>
      <c r="GM15" s="16"/>
      <c r="GN15" s="16"/>
      <c r="GO15" s="16"/>
      <c r="GP15" s="19">
        <v>2024</v>
      </c>
      <c r="GQ15" s="19"/>
      <c r="GR15" s="183"/>
      <c r="GV15" s="13">
        <v>2007</v>
      </c>
      <c r="GW15" s="13"/>
      <c r="GX15" s="13"/>
      <c r="GY15" s="14"/>
      <c r="GZ15" s="15">
        <v>2008</v>
      </c>
      <c r="HA15" s="16"/>
      <c r="HB15" s="17"/>
      <c r="HC15" s="16"/>
      <c r="HD15" s="16"/>
      <c r="HE15" s="16"/>
      <c r="HF15" s="18"/>
      <c r="HG15" s="18"/>
      <c r="HH15" s="18"/>
      <c r="HI15" s="18"/>
      <c r="HJ15" s="18"/>
      <c r="HK15" s="18"/>
      <c r="HL15" s="19">
        <v>2009</v>
      </c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>
        <v>2010</v>
      </c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>
        <v>2011</v>
      </c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>
        <v>2012</v>
      </c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>
        <v>2013</v>
      </c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>
        <v>2014</v>
      </c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>
        <v>2015</v>
      </c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>
        <v>2016</v>
      </c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>
        <v>2017</v>
      </c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>
        <v>2018</v>
      </c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>
        <v>2019</v>
      </c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>
        <v>2020</v>
      </c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>
        <v>2021</v>
      </c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>
        <v>2022</v>
      </c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>
        <v>2023</v>
      </c>
      <c r="NY15" s="19"/>
      <c r="NZ15" s="19"/>
      <c r="OA15" s="19">
        <v>2023</v>
      </c>
      <c r="OB15" s="19"/>
      <c r="OC15" s="19"/>
      <c r="OD15" s="19"/>
      <c r="OE15" s="19"/>
      <c r="OF15" s="19"/>
      <c r="OG15" s="19"/>
      <c r="OH15" s="19"/>
      <c r="OI15" s="19"/>
      <c r="OJ15" s="19">
        <v>2024</v>
      </c>
      <c r="OK15" s="19"/>
      <c r="OL15" s="19"/>
    </row>
    <row r="16" spans="1:402" s="2" customFormat="1" x14ac:dyDescent="0.35">
      <c r="A16" s="26"/>
      <c r="B16" s="20" t="s">
        <v>3</v>
      </c>
      <c r="C16" s="21" t="s">
        <v>4</v>
      </c>
      <c r="D16" s="20" t="s">
        <v>5</v>
      </c>
      <c r="E16" s="20" t="s">
        <v>6</v>
      </c>
      <c r="F16" s="20" t="s">
        <v>7</v>
      </c>
      <c r="G16" s="20" t="s">
        <v>8</v>
      </c>
      <c r="H16" s="20" t="s">
        <v>9</v>
      </c>
      <c r="I16" s="20" t="s">
        <v>10</v>
      </c>
      <c r="J16" s="20" t="s">
        <v>11</v>
      </c>
      <c r="K16" s="20" t="s">
        <v>12</v>
      </c>
      <c r="L16" s="20" t="s">
        <v>13</v>
      </c>
      <c r="M16" s="20" t="s">
        <v>14</v>
      </c>
      <c r="N16" s="20" t="s">
        <v>3</v>
      </c>
      <c r="O16" s="20" t="s">
        <v>4</v>
      </c>
      <c r="P16" s="20" t="s">
        <v>5</v>
      </c>
      <c r="Q16" s="20" t="s">
        <v>15</v>
      </c>
      <c r="R16" s="22" t="s">
        <v>7</v>
      </c>
      <c r="S16" s="22" t="s">
        <v>8</v>
      </c>
      <c r="T16" s="22" t="s">
        <v>9</v>
      </c>
      <c r="U16" s="22" t="s">
        <v>10</v>
      </c>
      <c r="V16" s="22" t="s">
        <v>11</v>
      </c>
      <c r="W16" s="22" t="s">
        <v>12</v>
      </c>
      <c r="X16" s="22" t="s">
        <v>13</v>
      </c>
      <c r="Y16" s="22" t="s">
        <v>14</v>
      </c>
      <c r="Z16" s="22" t="s">
        <v>16</v>
      </c>
      <c r="AA16" s="22" t="s">
        <v>4</v>
      </c>
      <c r="AB16" s="22" t="s">
        <v>5</v>
      </c>
      <c r="AC16" s="22" t="s">
        <v>6</v>
      </c>
      <c r="AD16" s="22" t="s">
        <v>17</v>
      </c>
      <c r="AE16" s="22" t="s">
        <v>8</v>
      </c>
      <c r="AF16" s="22" t="s">
        <v>18</v>
      </c>
      <c r="AG16" s="22" t="s">
        <v>10</v>
      </c>
      <c r="AH16" s="22" t="s">
        <v>11</v>
      </c>
      <c r="AI16" s="22" t="s">
        <v>12</v>
      </c>
      <c r="AJ16" s="22" t="s">
        <v>13</v>
      </c>
      <c r="AK16" s="22" t="s">
        <v>14</v>
      </c>
      <c r="AL16" s="22" t="s">
        <v>16</v>
      </c>
      <c r="AM16" s="22" t="s">
        <v>19</v>
      </c>
      <c r="AN16" s="22" t="s">
        <v>5</v>
      </c>
      <c r="AO16" s="22" t="s">
        <v>6</v>
      </c>
      <c r="AP16" s="22" t="s">
        <v>7</v>
      </c>
      <c r="AQ16" s="22" t="s">
        <v>8</v>
      </c>
      <c r="AR16" s="22" t="s">
        <v>9</v>
      </c>
      <c r="AS16" s="22" t="s">
        <v>10</v>
      </c>
      <c r="AT16" s="22" t="s">
        <v>11</v>
      </c>
      <c r="AU16" s="22" t="s">
        <v>12</v>
      </c>
      <c r="AV16" s="22" t="s">
        <v>13</v>
      </c>
      <c r="AW16" s="22" t="s">
        <v>14</v>
      </c>
      <c r="AX16" s="22" t="s">
        <v>3</v>
      </c>
      <c r="AY16" s="22" t="s">
        <v>4</v>
      </c>
      <c r="AZ16" s="22" t="s">
        <v>5</v>
      </c>
      <c r="BA16" s="22" t="s">
        <v>15</v>
      </c>
      <c r="BB16" s="22" t="s">
        <v>7</v>
      </c>
      <c r="BC16" s="22" t="s">
        <v>8</v>
      </c>
      <c r="BD16" s="22" t="s">
        <v>18</v>
      </c>
      <c r="BE16" s="22" t="s">
        <v>10</v>
      </c>
      <c r="BF16" s="22" t="s">
        <v>11</v>
      </c>
      <c r="BG16" s="22" t="s">
        <v>12</v>
      </c>
      <c r="BH16" s="22" t="s">
        <v>20</v>
      </c>
      <c r="BI16" s="22" t="s">
        <v>21</v>
      </c>
      <c r="BJ16" s="22" t="s">
        <v>16</v>
      </c>
      <c r="BK16" s="22" t="s">
        <v>19</v>
      </c>
      <c r="BL16" s="22" t="s">
        <v>5</v>
      </c>
      <c r="BM16" s="22" t="s">
        <v>15</v>
      </c>
      <c r="BN16" s="22" t="s">
        <v>7</v>
      </c>
      <c r="BO16" s="22" t="s">
        <v>8</v>
      </c>
      <c r="BP16" s="22" t="s">
        <v>9</v>
      </c>
      <c r="BQ16" s="22" t="s">
        <v>10</v>
      </c>
      <c r="BR16" s="22" t="s">
        <v>11</v>
      </c>
      <c r="BS16" s="22" t="s">
        <v>12</v>
      </c>
      <c r="BT16" s="22" t="s">
        <v>20</v>
      </c>
      <c r="BU16" s="22" t="s">
        <v>21</v>
      </c>
      <c r="BV16" s="22" t="s">
        <v>22</v>
      </c>
      <c r="BW16" s="22" t="s">
        <v>4</v>
      </c>
      <c r="BX16" s="22" t="s">
        <v>5</v>
      </c>
      <c r="BY16" s="22" t="s">
        <v>6</v>
      </c>
      <c r="BZ16" s="22" t="s">
        <v>17</v>
      </c>
      <c r="CA16" s="22" t="s">
        <v>23</v>
      </c>
      <c r="CB16" s="22" t="s">
        <v>18</v>
      </c>
      <c r="CC16" s="22" t="s">
        <v>24</v>
      </c>
      <c r="CD16" s="22" t="s">
        <v>11</v>
      </c>
      <c r="CE16" s="22" t="s">
        <v>12</v>
      </c>
      <c r="CF16" s="22" t="s">
        <v>13</v>
      </c>
      <c r="CG16" s="22" t="s">
        <v>14</v>
      </c>
      <c r="CH16" s="22" t="s">
        <v>16</v>
      </c>
      <c r="CI16" s="22" t="s">
        <v>4</v>
      </c>
      <c r="CJ16" s="22" t="s">
        <v>5</v>
      </c>
      <c r="CK16" s="22" t="s">
        <v>6</v>
      </c>
      <c r="CL16" s="22" t="s">
        <v>7</v>
      </c>
      <c r="CM16" s="22" t="s">
        <v>8</v>
      </c>
      <c r="CN16" s="22" t="s">
        <v>18</v>
      </c>
      <c r="CO16" s="22" t="s">
        <v>10</v>
      </c>
      <c r="CP16" s="22" t="s">
        <v>11</v>
      </c>
      <c r="CQ16" s="22" t="s">
        <v>12</v>
      </c>
      <c r="CR16" s="22" t="s">
        <v>20</v>
      </c>
      <c r="CS16" s="22" t="s">
        <v>14</v>
      </c>
      <c r="CT16" s="22" t="s">
        <v>22</v>
      </c>
      <c r="CU16" s="22" t="s">
        <v>19</v>
      </c>
      <c r="CV16" s="22" t="s">
        <v>5</v>
      </c>
      <c r="CW16" s="22" t="s">
        <v>15</v>
      </c>
      <c r="CX16" s="22" t="s">
        <v>7</v>
      </c>
      <c r="CY16" s="22" t="s">
        <v>23</v>
      </c>
      <c r="CZ16" s="22" t="s">
        <v>18</v>
      </c>
      <c r="DA16" s="22" t="s">
        <v>24</v>
      </c>
      <c r="DB16" s="22" t="s">
        <v>11</v>
      </c>
      <c r="DC16" s="22" t="s">
        <v>12</v>
      </c>
      <c r="DD16" s="22" t="s">
        <v>13</v>
      </c>
      <c r="DE16" s="22" t="s">
        <v>14</v>
      </c>
      <c r="DF16" s="22" t="s">
        <v>16</v>
      </c>
      <c r="DG16" s="22" t="s">
        <v>4</v>
      </c>
      <c r="DH16" s="22" t="s">
        <v>5</v>
      </c>
      <c r="DI16" s="22" t="s">
        <v>15</v>
      </c>
      <c r="DJ16" s="22" t="s">
        <v>7</v>
      </c>
      <c r="DK16" s="22" t="s">
        <v>8</v>
      </c>
      <c r="DL16" s="22" t="s">
        <v>18</v>
      </c>
      <c r="DM16" s="22" t="s">
        <v>24</v>
      </c>
      <c r="DN16" s="22" t="s">
        <v>11</v>
      </c>
      <c r="DO16" s="22" t="s">
        <v>12</v>
      </c>
      <c r="DP16" s="22" t="s">
        <v>20</v>
      </c>
      <c r="DQ16" s="22" t="s">
        <v>14</v>
      </c>
      <c r="DR16" s="22" t="s">
        <v>22</v>
      </c>
      <c r="DS16" s="22" t="s">
        <v>19</v>
      </c>
      <c r="DT16" s="22" t="s">
        <v>5</v>
      </c>
      <c r="DU16" s="22" t="s">
        <v>15</v>
      </c>
      <c r="DV16" s="22" t="s">
        <v>7</v>
      </c>
      <c r="DW16" s="22" t="s">
        <v>8</v>
      </c>
      <c r="DX16" s="22" t="s">
        <v>18</v>
      </c>
      <c r="DY16" s="22" t="s">
        <v>24</v>
      </c>
      <c r="DZ16" s="22" t="s">
        <v>11</v>
      </c>
      <c r="EA16" s="22" t="s">
        <v>12</v>
      </c>
      <c r="EB16" s="22" t="s">
        <v>20</v>
      </c>
      <c r="EC16" s="22" t="s">
        <v>21</v>
      </c>
      <c r="ED16" s="22" t="s">
        <v>22</v>
      </c>
      <c r="EE16" s="22" t="s">
        <v>4</v>
      </c>
      <c r="EF16" s="22" t="s">
        <v>5</v>
      </c>
      <c r="EG16" s="22" t="s">
        <v>15</v>
      </c>
      <c r="EH16" s="22" t="s">
        <v>17</v>
      </c>
      <c r="EI16" s="22" t="s">
        <v>23</v>
      </c>
      <c r="EJ16" s="22" t="s">
        <v>18</v>
      </c>
      <c r="EK16" s="22" t="s">
        <v>24</v>
      </c>
      <c r="EL16" s="22" t="s">
        <v>11</v>
      </c>
      <c r="EM16" s="22" t="s">
        <v>12</v>
      </c>
      <c r="EN16" s="22" t="s">
        <v>20</v>
      </c>
      <c r="EO16" s="22" t="s">
        <v>21</v>
      </c>
      <c r="EP16" s="22" t="s">
        <v>22</v>
      </c>
      <c r="EQ16" s="22" t="s">
        <v>4</v>
      </c>
      <c r="ER16" s="22" t="s">
        <v>5</v>
      </c>
      <c r="ES16" s="22" t="s">
        <v>6</v>
      </c>
      <c r="ET16" s="22" t="s">
        <v>17</v>
      </c>
      <c r="EU16" s="22" t="s">
        <v>8</v>
      </c>
      <c r="EV16" s="22" t="s">
        <v>18</v>
      </c>
      <c r="EW16" s="22" t="s">
        <v>24</v>
      </c>
      <c r="EX16" s="22" t="s">
        <v>11</v>
      </c>
      <c r="EY16" s="22" t="s">
        <v>12</v>
      </c>
      <c r="EZ16" s="22" t="s">
        <v>20</v>
      </c>
      <c r="FA16" s="22" t="s">
        <v>14</v>
      </c>
      <c r="FB16" s="22" t="s">
        <v>22</v>
      </c>
      <c r="FC16" s="22" t="s">
        <v>4</v>
      </c>
      <c r="FD16" s="22" t="s">
        <v>5</v>
      </c>
      <c r="FE16" s="22" t="s">
        <v>6</v>
      </c>
      <c r="FF16" s="22" t="s">
        <v>7</v>
      </c>
      <c r="FG16" s="22" t="s">
        <v>8</v>
      </c>
      <c r="FH16" s="22" t="s">
        <v>9</v>
      </c>
      <c r="FI16" s="22" t="s">
        <v>24</v>
      </c>
      <c r="FJ16" s="22" t="s">
        <v>11</v>
      </c>
      <c r="FK16" s="22" t="s">
        <v>12</v>
      </c>
      <c r="FL16" s="22" t="s">
        <v>20</v>
      </c>
      <c r="FM16" s="22" t="s">
        <v>14</v>
      </c>
      <c r="FN16" s="22" t="s">
        <v>22</v>
      </c>
      <c r="FO16" s="22" t="s">
        <v>19</v>
      </c>
      <c r="FP16" s="22" t="s">
        <v>27</v>
      </c>
      <c r="FQ16" s="22" t="s">
        <v>15</v>
      </c>
      <c r="FR16" s="22" t="s">
        <v>7</v>
      </c>
      <c r="FS16" s="22" t="s">
        <v>8</v>
      </c>
      <c r="FT16" s="22" t="s">
        <v>9</v>
      </c>
      <c r="FU16" s="22" t="s">
        <v>10</v>
      </c>
      <c r="FV16" s="22" t="s">
        <v>11</v>
      </c>
      <c r="FW16" s="22" t="s">
        <v>12</v>
      </c>
      <c r="FX16" s="22" t="s">
        <v>20</v>
      </c>
      <c r="FY16" s="22" t="s">
        <v>14</v>
      </c>
      <c r="FZ16" s="22" t="s">
        <v>16</v>
      </c>
      <c r="GA16" s="22" t="s">
        <v>19</v>
      </c>
      <c r="GB16" s="22" t="s">
        <v>5</v>
      </c>
      <c r="GC16" s="22" t="s">
        <v>6</v>
      </c>
      <c r="GD16" s="22" t="s">
        <v>7</v>
      </c>
      <c r="GE16" s="22" t="s">
        <v>8</v>
      </c>
      <c r="GF16" s="22" t="s">
        <v>18</v>
      </c>
      <c r="GG16" s="22" t="s">
        <v>24</v>
      </c>
      <c r="GH16" s="22" t="s">
        <v>11</v>
      </c>
      <c r="GI16" s="22" t="s">
        <v>12</v>
      </c>
      <c r="GJ16" s="22" t="s">
        <v>13</v>
      </c>
      <c r="GK16" s="22" t="s">
        <v>14</v>
      </c>
      <c r="GL16" s="22" t="s">
        <v>22</v>
      </c>
      <c r="GM16" s="22" t="s">
        <v>4</v>
      </c>
      <c r="GN16" s="22" t="s">
        <v>5</v>
      </c>
      <c r="GO16" s="22" t="s">
        <v>6</v>
      </c>
      <c r="GP16" s="22" t="s">
        <v>7</v>
      </c>
      <c r="GQ16" s="22" t="s">
        <v>8</v>
      </c>
      <c r="GR16" s="22" t="s">
        <v>18</v>
      </c>
      <c r="GV16" s="20" t="s">
        <v>3</v>
      </c>
      <c r="GW16" s="21" t="s">
        <v>4</v>
      </c>
      <c r="GX16" s="20" t="s">
        <v>5</v>
      </c>
      <c r="GY16" s="20" t="s">
        <v>6</v>
      </c>
      <c r="GZ16" s="20" t="s">
        <v>7</v>
      </c>
      <c r="HA16" s="20" t="s">
        <v>8</v>
      </c>
      <c r="HB16" s="20" t="s">
        <v>9</v>
      </c>
      <c r="HC16" s="20" t="s">
        <v>10</v>
      </c>
      <c r="HD16" s="20" t="s">
        <v>11</v>
      </c>
      <c r="HE16" s="20" t="s">
        <v>12</v>
      </c>
      <c r="HF16" s="20" t="s">
        <v>13</v>
      </c>
      <c r="HG16" s="20" t="s">
        <v>14</v>
      </c>
      <c r="HH16" s="20" t="s">
        <v>3</v>
      </c>
      <c r="HI16" s="20" t="s">
        <v>4</v>
      </c>
      <c r="HJ16" s="20" t="s">
        <v>5</v>
      </c>
      <c r="HK16" s="20" t="s">
        <v>15</v>
      </c>
      <c r="HL16" s="22" t="s">
        <v>7</v>
      </c>
      <c r="HM16" s="22" t="s">
        <v>8</v>
      </c>
      <c r="HN16" s="22" t="s">
        <v>9</v>
      </c>
      <c r="HO16" s="22" t="s">
        <v>10</v>
      </c>
      <c r="HP16" s="22" t="s">
        <v>11</v>
      </c>
      <c r="HQ16" s="22" t="s">
        <v>12</v>
      </c>
      <c r="HR16" s="22" t="s">
        <v>13</v>
      </c>
      <c r="HS16" s="22" t="s">
        <v>14</v>
      </c>
      <c r="HT16" s="22" t="s">
        <v>16</v>
      </c>
      <c r="HU16" s="22" t="s">
        <v>4</v>
      </c>
      <c r="HV16" s="22" t="s">
        <v>5</v>
      </c>
      <c r="HW16" s="22" t="s">
        <v>6</v>
      </c>
      <c r="HX16" s="22" t="s">
        <v>17</v>
      </c>
      <c r="HY16" s="22" t="s">
        <v>8</v>
      </c>
      <c r="HZ16" s="22" t="s">
        <v>18</v>
      </c>
      <c r="IA16" s="22" t="s">
        <v>10</v>
      </c>
      <c r="IB16" s="22" t="s">
        <v>11</v>
      </c>
      <c r="IC16" s="22" t="s">
        <v>12</v>
      </c>
      <c r="ID16" s="22" t="s">
        <v>13</v>
      </c>
      <c r="IE16" s="22" t="s">
        <v>26</v>
      </c>
      <c r="IF16" s="22" t="s">
        <v>16</v>
      </c>
      <c r="IG16" s="22" t="s">
        <v>4</v>
      </c>
      <c r="IH16" s="22" t="s">
        <v>5</v>
      </c>
      <c r="II16" s="22" t="s">
        <v>6</v>
      </c>
      <c r="IJ16" s="22" t="s">
        <v>7</v>
      </c>
      <c r="IK16" s="22" t="s">
        <v>8</v>
      </c>
      <c r="IL16" s="22" t="s">
        <v>18</v>
      </c>
      <c r="IM16" s="22" t="s">
        <v>10</v>
      </c>
      <c r="IN16" s="22" t="s">
        <v>11</v>
      </c>
      <c r="IO16" s="22" t="s">
        <v>12</v>
      </c>
      <c r="IP16" s="22" t="s">
        <v>13</v>
      </c>
      <c r="IQ16" s="22" t="s">
        <v>14</v>
      </c>
      <c r="IR16" s="22" t="s">
        <v>3</v>
      </c>
      <c r="IS16" s="22" t="s">
        <v>4</v>
      </c>
      <c r="IT16" s="22" t="s">
        <v>5</v>
      </c>
      <c r="IU16" s="22" t="s">
        <v>15</v>
      </c>
      <c r="IV16" s="22" t="s">
        <v>7</v>
      </c>
      <c r="IW16" s="22" t="s">
        <v>8</v>
      </c>
      <c r="IX16" s="22" t="s">
        <v>9</v>
      </c>
      <c r="IY16" s="22" t="s">
        <v>10</v>
      </c>
      <c r="IZ16" s="22" t="s">
        <v>11</v>
      </c>
      <c r="JA16" s="22" t="s">
        <v>12</v>
      </c>
      <c r="JB16" s="22" t="s">
        <v>20</v>
      </c>
      <c r="JC16" s="22" t="s">
        <v>21</v>
      </c>
      <c r="JD16" s="22" t="s">
        <v>16</v>
      </c>
      <c r="JE16" s="22" t="s">
        <v>4</v>
      </c>
      <c r="JF16" s="22" t="s">
        <v>5</v>
      </c>
      <c r="JG16" s="22" t="s">
        <v>6</v>
      </c>
      <c r="JH16" s="22" t="s">
        <v>7</v>
      </c>
      <c r="JI16" s="22" t="s">
        <v>8</v>
      </c>
      <c r="JJ16" s="22" t="s">
        <v>9</v>
      </c>
      <c r="JK16" s="22" t="s">
        <v>10</v>
      </c>
      <c r="JL16" s="22" t="s">
        <v>11</v>
      </c>
      <c r="JM16" s="22" t="s">
        <v>12</v>
      </c>
      <c r="JN16" s="22" t="s">
        <v>20</v>
      </c>
      <c r="JO16" s="22" t="s">
        <v>21</v>
      </c>
      <c r="JP16" s="22" t="s">
        <v>22</v>
      </c>
      <c r="JQ16" s="22" t="s">
        <v>4</v>
      </c>
      <c r="JR16" s="22" t="s">
        <v>5</v>
      </c>
      <c r="JS16" s="22" t="s">
        <v>6</v>
      </c>
      <c r="JT16" s="22" t="s">
        <v>17</v>
      </c>
      <c r="JU16" s="22" t="s">
        <v>23</v>
      </c>
      <c r="JV16" s="22" t="s">
        <v>18</v>
      </c>
      <c r="JW16" s="22" t="s">
        <v>24</v>
      </c>
      <c r="JX16" s="22" t="s">
        <v>11</v>
      </c>
      <c r="JY16" s="22" t="s">
        <v>12</v>
      </c>
      <c r="JZ16" s="22" t="s">
        <v>13</v>
      </c>
      <c r="KA16" s="22" t="s">
        <v>14</v>
      </c>
      <c r="KB16" s="22" t="s">
        <v>22</v>
      </c>
      <c r="KC16" s="22" t="s">
        <v>4</v>
      </c>
      <c r="KD16" s="22" t="s">
        <v>5</v>
      </c>
      <c r="KE16" s="22" t="s">
        <v>6</v>
      </c>
      <c r="KF16" s="22" t="s">
        <v>17</v>
      </c>
      <c r="KG16" s="22" t="s">
        <v>8</v>
      </c>
      <c r="KH16" s="22" t="s">
        <v>18</v>
      </c>
      <c r="KI16" s="22" t="s">
        <v>10</v>
      </c>
      <c r="KJ16" s="22" t="s">
        <v>11</v>
      </c>
      <c r="KK16" s="22" t="s">
        <v>12</v>
      </c>
      <c r="KL16" s="22" t="s">
        <v>20</v>
      </c>
      <c r="KM16" s="22" t="s">
        <v>21</v>
      </c>
      <c r="KN16" s="22" t="s">
        <v>16</v>
      </c>
      <c r="KO16" s="22" t="s">
        <v>19</v>
      </c>
      <c r="KP16" s="22" t="s">
        <v>5</v>
      </c>
      <c r="KQ16" s="22" t="s">
        <v>6</v>
      </c>
      <c r="KR16" s="22" t="s">
        <v>7</v>
      </c>
      <c r="KS16" s="22" t="s">
        <v>8</v>
      </c>
      <c r="KT16" s="22" t="s">
        <v>18</v>
      </c>
      <c r="KU16" s="22" t="s">
        <v>24</v>
      </c>
      <c r="KV16" s="22" t="s">
        <v>11</v>
      </c>
      <c r="KW16" s="22" t="s">
        <v>12</v>
      </c>
      <c r="KX16" s="22" t="s">
        <v>20</v>
      </c>
      <c r="KY16" s="22" t="s">
        <v>14</v>
      </c>
      <c r="KZ16" s="22" t="s">
        <v>16</v>
      </c>
      <c r="LA16" s="22" t="s">
        <v>4</v>
      </c>
      <c r="LB16" s="22" t="s">
        <v>27</v>
      </c>
      <c r="LC16" s="22" t="s">
        <v>6</v>
      </c>
      <c r="LD16" s="22" t="s">
        <v>7</v>
      </c>
      <c r="LE16" s="22" t="s">
        <v>8</v>
      </c>
      <c r="LF16" s="22" t="s">
        <v>9</v>
      </c>
      <c r="LG16" s="22" t="s">
        <v>24</v>
      </c>
      <c r="LH16" s="22" t="s">
        <v>11</v>
      </c>
      <c r="LI16" s="22" t="s">
        <v>12</v>
      </c>
      <c r="LJ16" s="22" t="s">
        <v>20</v>
      </c>
      <c r="LK16" s="22" t="s">
        <v>14</v>
      </c>
      <c r="LL16" s="22" t="s">
        <v>22</v>
      </c>
      <c r="LM16" s="22" t="s">
        <v>19</v>
      </c>
      <c r="LN16" s="22" t="s">
        <v>5</v>
      </c>
      <c r="LO16" s="22" t="s">
        <v>15</v>
      </c>
      <c r="LP16" s="22" t="s">
        <v>7</v>
      </c>
      <c r="LQ16" s="22" t="s">
        <v>8</v>
      </c>
      <c r="LR16" s="22" t="s">
        <v>18</v>
      </c>
      <c r="LS16" s="22" t="s">
        <v>10</v>
      </c>
      <c r="LT16" s="22" t="s">
        <v>11</v>
      </c>
      <c r="LU16" s="22" t="s">
        <v>12</v>
      </c>
      <c r="LV16" s="22" t="s">
        <v>13</v>
      </c>
      <c r="LW16" s="22" t="s">
        <v>14</v>
      </c>
      <c r="LX16" s="22" t="s">
        <v>22</v>
      </c>
      <c r="LY16" s="22" t="s">
        <v>4</v>
      </c>
      <c r="LZ16" s="22" t="s">
        <v>5</v>
      </c>
      <c r="MA16" s="22" t="s">
        <v>6</v>
      </c>
      <c r="MB16" s="22" t="s">
        <v>17</v>
      </c>
      <c r="MC16" s="22" t="s">
        <v>8</v>
      </c>
      <c r="MD16" s="22" t="s">
        <v>18</v>
      </c>
      <c r="ME16" s="22" t="s">
        <v>24</v>
      </c>
      <c r="MF16" s="22" t="s">
        <v>11</v>
      </c>
      <c r="MG16" s="22" t="s">
        <v>101</v>
      </c>
      <c r="MH16" s="22" t="s">
        <v>20</v>
      </c>
      <c r="MI16" s="22" t="s">
        <v>14</v>
      </c>
      <c r="MJ16" s="22" t="s">
        <v>22</v>
      </c>
      <c r="MK16" s="22" t="s">
        <v>4</v>
      </c>
      <c r="ML16" s="22" t="s">
        <v>5</v>
      </c>
      <c r="MM16" s="22" t="s">
        <v>6</v>
      </c>
      <c r="MN16" s="22" t="s">
        <v>17</v>
      </c>
      <c r="MO16" s="22" t="s">
        <v>8</v>
      </c>
      <c r="MP16" s="22" t="s">
        <v>18</v>
      </c>
      <c r="MQ16" s="22" t="s">
        <v>24</v>
      </c>
      <c r="MR16" s="22" t="s">
        <v>11</v>
      </c>
      <c r="MS16" s="22" t="s">
        <v>12</v>
      </c>
      <c r="MT16" s="22" t="s">
        <v>20</v>
      </c>
      <c r="MU16" s="22" t="s">
        <v>14</v>
      </c>
      <c r="MV16" s="22" t="s">
        <v>22</v>
      </c>
      <c r="MW16" s="22" t="s">
        <v>4</v>
      </c>
      <c r="MX16" s="22" t="s">
        <v>5</v>
      </c>
      <c r="MY16" s="22" t="s">
        <v>15</v>
      </c>
      <c r="MZ16" s="22" t="s">
        <v>7</v>
      </c>
      <c r="NA16" s="22" t="s">
        <v>8</v>
      </c>
      <c r="NB16" s="22" t="s">
        <v>18</v>
      </c>
      <c r="NC16" s="22" t="s">
        <v>24</v>
      </c>
      <c r="ND16" s="22" t="s">
        <v>11</v>
      </c>
      <c r="NE16" s="22" t="s">
        <v>12</v>
      </c>
      <c r="NF16" s="22" t="s">
        <v>20</v>
      </c>
      <c r="NG16" s="22" t="s">
        <v>14</v>
      </c>
      <c r="NH16" s="22" t="s">
        <v>22</v>
      </c>
      <c r="NI16" s="22" t="s">
        <v>19</v>
      </c>
      <c r="NJ16" s="22" t="s">
        <v>27</v>
      </c>
      <c r="NK16" s="22" t="s">
        <v>6</v>
      </c>
      <c r="NL16" s="22" t="s">
        <v>7</v>
      </c>
      <c r="NM16" s="22" t="s">
        <v>8</v>
      </c>
      <c r="NN16" s="22" t="s">
        <v>9</v>
      </c>
      <c r="NO16" s="22" t="s">
        <v>10</v>
      </c>
      <c r="NP16" s="22" t="s">
        <v>11</v>
      </c>
      <c r="NQ16" s="22" t="s">
        <v>12</v>
      </c>
      <c r="NR16" s="22" t="s">
        <v>20</v>
      </c>
      <c r="NS16" s="22" t="s">
        <v>14</v>
      </c>
      <c r="NT16" s="22" t="s">
        <v>16</v>
      </c>
      <c r="NU16" s="22" t="s">
        <v>19</v>
      </c>
      <c r="NV16" s="22" t="s">
        <v>5</v>
      </c>
      <c r="NW16" s="22" t="s">
        <v>6</v>
      </c>
      <c r="NX16" s="22" t="s">
        <v>7</v>
      </c>
      <c r="NY16" s="22" t="s">
        <v>8</v>
      </c>
      <c r="NZ16" s="22" t="s">
        <v>18</v>
      </c>
      <c r="OA16" s="22" t="s">
        <v>24</v>
      </c>
      <c r="OB16" s="22" t="s">
        <v>11</v>
      </c>
      <c r="OC16" s="22" t="s">
        <v>12</v>
      </c>
      <c r="OD16" s="22" t="s">
        <v>13</v>
      </c>
      <c r="OE16" s="22" t="s">
        <v>14</v>
      </c>
      <c r="OF16" s="22" t="s">
        <v>16</v>
      </c>
      <c r="OG16" s="22" t="s">
        <v>4</v>
      </c>
      <c r="OH16" s="22" t="s">
        <v>5</v>
      </c>
      <c r="OI16" s="22" t="s">
        <v>15</v>
      </c>
      <c r="OJ16" s="22" t="s">
        <v>7</v>
      </c>
      <c r="OK16" s="22" t="s">
        <v>8</v>
      </c>
      <c r="OL16" s="22" t="s">
        <v>18</v>
      </c>
    </row>
    <row r="17" spans="1:402" s="149" customFormat="1" ht="14.25" customHeight="1" x14ac:dyDescent="0.35">
      <c r="A17" s="147"/>
      <c r="B17" s="149">
        <f>'[1]Sept 07'!H45</f>
        <v>0.90667454223272292</v>
      </c>
      <c r="C17" s="149">
        <f>'[1]Oct 07'!H45</f>
        <v>0.91540014714749596</v>
      </c>
      <c r="D17" s="149">
        <f>'[1]Nov 07'!H45</f>
        <v>0.93450138793540882</v>
      </c>
      <c r="E17" s="149">
        <f>'[1]Dec 07'!H45</f>
        <v>0.94018620491609195</v>
      </c>
      <c r="F17" s="149">
        <f>'[1]Jan 08'!H45</f>
        <v>0.9366589807296456</v>
      </c>
      <c r="G17" s="149">
        <f>'[1]Feb 08'!H45</f>
        <v>0.93579829788382574</v>
      </c>
      <c r="H17" s="149">
        <f>'[1]Mar 08'!H45</f>
        <v>0.92978559170080566</v>
      </c>
      <c r="I17" s="149">
        <v>0.92218955319534068</v>
      </c>
      <c r="J17" s="149">
        <f>'[1]May 08'!H45</f>
        <v>0.92920288818684005</v>
      </c>
      <c r="K17" s="149">
        <v>0.93600000000000005</v>
      </c>
      <c r="L17" s="149">
        <f>'[1]Jul 08'!H45</f>
        <v>0.92675707761611958</v>
      </c>
      <c r="M17" s="149">
        <f>'[1]Aug 08'!H45</f>
        <v>0.92771177784216796</v>
      </c>
      <c r="N17" s="149">
        <v>0.94799999999999995</v>
      </c>
      <c r="O17" s="149">
        <v>0.92100000000000004</v>
      </c>
      <c r="P17" s="149">
        <v>0.91200000000000003</v>
      </c>
      <c r="Q17" s="149">
        <v>0.91900000000000004</v>
      </c>
      <c r="R17" s="149">
        <v>0.9</v>
      </c>
      <c r="S17" s="149">
        <v>0.92200000000000004</v>
      </c>
      <c r="T17" s="149">
        <v>0.89500000000000002</v>
      </c>
      <c r="U17" s="149">
        <v>0.92</v>
      </c>
      <c r="V17" s="149">
        <v>0.91600000000000004</v>
      </c>
      <c r="W17" s="149">
        <v>0.93300000000000005</v>
      </c>
      <c r="X17" s="149">
        <v>0.90400000000000003</v>
      </c>
      <c r="Y17" s="149">
        <v>0.92200000000000004</v>
      </c>
      <c r="Z17" s="149">
        <f>506233/539620</f>
        <v>0.93812868314740006</v>
      </c>
      <c r="AA17" s="149">
        <v>0.93700000000000006</v>
      </c>
      <c r="AB17" s="149">
        <v>0.94</v>
      </c>
      <c r="AC17" s="149">
        <v>0.91900000000000004</v>
      </c>
      <c r="AD17" s="149">
        <v>0.90400000000000003</v>
      </c>
      <c r="AE17" s="149">
        <f>579314/628858</f>
        <v>0.92121591837902994</v>
      </c>
      <c r="AF17" s="148" t="s">
        <v>37</v>
      </c>
      <c r="AG17" s="146">
        <v>0.92700000000000005</v>
      </c>
      <c r="AH17" s="146">
        <v>0.92900000000000005</v>
      </c>
      <c r="AI17" s="146">
        <v>0.92300000000000004</v>
      </c>
      <c r="AJ17" s="146">
        <v>0.92500000000000004</v>
      </c>
      <c r="AK17" s="146">
        <v>0.93400000000000005</v>
      </c>
      <c r="AL17" s="146">
        <v>0.92800000000000005</v>
      </c>
      <c r="AM17" s="146">
        <v>0.93300000000000005</v>
      </c>
      <c r="AN17" s="146">
        <v>0.93100000000000005</v>
      </c>
      <c r="AO17" s="146">
        <v>0.93600000000000005</v>
      </c>
      <c r="AP17" s="146">
        <v>0.92600000000000005</v>
      </c>
      <c r="AQ17" s="146">
        <v>0.92500000000000004</v>
      </c>
      <c r="AR17" s="146">
        <v>0.93500000000000005</v>
      </c>
      <c r="AS17" s="146">
        <v>0.93700000000000006</v>
      </c>
      <c r="AT17" s="146">
        <v>0.93200000000000005</v>
      </c>
      <c r="AU17" s="146">
        <v>0.93100000000000005</v>
      </c>
      <c r="AV17" s="146">
        <v>0.93799999999999994</v>
      </c>
      <c r="AW17" s="146">
        <f>448242/480533</f>
        <v>0.93280170144402152</v>
      </c>
      <c r="AX17" s="146">
        <v>0.93700000000000006</v>
      </c>
      <c r="AY17" s="146">
        <v>0.94</v>
      </c>
      <c r="AZ17" s="146">
        <v>0.94699999999999995</v>
      </c>
      <c r="BA17" s="146">
        <v>0.94499999999999995</v>
      </c>
      <c r="BB17" s="146">
        <v>0.94099999999999995</v>
      </c>
      <c r="BC17" s="146">
        <v>0.95699999999999996</v>
      </c>
      <c r="BD17" s="146">
        <v>0.91500000000000004</v>
      </c>
      <c r="BE17" s="146">
        <v>0.95099999999999996</v>
      </c>
      <c r="BF17" s="146">
        <v>0.94299999999999995</v>
      </c>
      <c r="BG17" s="146">
        <v>0.95499999999999996</v>
      </c>
      <c r="BH17" s="146">
        <v>0.96099999999999997</v>
      </c>
      <c r="BI17" s="146">
        <v>0.95399999999999996</v>
      </c>
      <c r="BJ17" s="146">
        <v>0.95499999999999996</v>
      </c>
      <c r="BK17" s="146">
        <v>0.95899999999999996</v>
      </c>
      <c r="BL17" s="146">
        <v>0.95399999999999996</v>
      </c>
      <c r="BM17" s="146">
        <v>0.95399999999999996</v>
      </c>
      <c r="BN17" s="146">
        <v>0.95899999999999996</v>
      </c>
      <c r="BO17" s="146">
        <v>0.95799999999999996</v>
      </c>
      <c r="BP17" s="146">
        <v>0.95699999999999996</v>
      </c>
      <c r="BQ17" s="146">
        <v>0.95899999999999996</v>
      </c>
      <c r="BR17" s="146">
        <v>0.96199999999999997</v>
      </c>
      <c r="BS17" s="146">
        <v>0.96499999999999997</v>
      </c>
      <c r="BT17" s="146">
        <v>0.96399999999999997</v>
      </c>
      <c r="BU17" s="146">
        <v>0.96399999999999997</v>
      </c>
      <c r="BV17" s="146">
        <v>0.96499999999999997</v>
      </c>
      <c r="BW17" s="146">
        <v>0.95199999999999996</v>
      </c>
      <c r="BX17" s="146">
        <v>0.96199999999999997</v>
      </c>
      <c r="BY17" s="146">
        <v>0.95699999999999996</v>
      </c>
      <c r="BZ17" s="146">
        <v>0.95899999999999996</v>
      </c>
      <c r="CA17" s="146">
        <v>0.95599999999999996</v>
      </c>
      <c r="CB17" s="146">
        <v>0.95699999999999996</v>
      </c>
      <c r="CC17" s="146">
        <v>0.95199999999999996</v>
      </c>
      <c r="CD17" s="146">
        <v>0.95399999999999996</v>
      </c>
      <c r="CE17" s="146">
        <v>0.95399999999999996</v>
      </c>
      <c r="CF17" s="146">
        <v>0.96299999999999997</v>
      </c>
      <c r="CG17" s="146">
        <v>0.95899999999999996</v>
      </c>
      <c r="CH17" s="146">
        <v>0.94899999999999995</v>
      </c>
      <c r="CI17" s="146">
        <v>0.96099999999999997</v>
      </c>
      <c r="CJ17" s="146">
        <v>0.95799999999999996</v>
      </c>
      <c r="CK17" s="146">
        <v>0.95299999999999996</v>
      </c>
      <c r="CL17" s="146">
        <v>0.95</v>
      </c>
      <c r="CM17" s="146">
        <v>0.95599999999999996</v>
      </c>
      <c r="CN17" s="146">
        <v>0.95799999999999996</v>
      </c>
      <c r="CO17" s="146">
        <v>0.95099999999999996</v>
      </c>
      <c r="CP17" s="146">
        <v>0.96099999999999997</v>
      </c>
      <c r="CQ17" s="146">
        <v>0.95699999999999996</v>
      </c>
      <c r="CR17" s="146">
        <v>0.95799999999999996</v>
      </c>
      <c r="CS17" s="146">
        <v>0.95799999999999996</v>
      </c>
      <c r="CT17" s="146">
        <v>0.96299999999999997</v>
      </c>
      <c r="CU17" s="146">
        <v>0.95499999999999996</v>
      </c>
      <c r="CV17" s="146">
        <v>0.95299999999999996</v>
      </c>
      <c r="CW17" s="146">
        <v>0.96399999999999997</v>
      </c>
      <c r="CX17" s="146">
        <v>0.96</v>
      </c>
      <c r="CY17" s="146">
        <v>0.96099999999999997</v>
      </c>
      <c r="CZ17" s="146">
        <v>0.95299999999999996</v>
      </c>
      <c r="DA17" s="146">
        <v>0.96899999999999997</v>
      </c>
      <c r="DB17" s="146">
        <v>0.95499999999999996</v>
      </c>
      <c r="DC17" s="146">
        <v>0.96199999999999997</v>
      </c>
      <c r="DD17" s="146">
        <v>0.95299999999999996</v>
      </c>
      <c r="DE17" s="146">
        <v>0.95599999999999996</v>
      </c>
      <c r="DF17" s="146">
        <v>0.96399999999999997</v>
      </c>
      <c r="DG17" s="146">
        <v>0.96099999999999997</v>
      </c>
      <c r="DH17" s="146">
        <v>0.96499999999999997</v>
      </c>
      <c r="DI17" s="146">
        <v>0.97099999999999997</v>
      </c>
      <c r="DJ17" s="146">
        <v>0.95899999999999996</v>
      </c>
      <c r="DK17" s="146">
        <v>0.92200000000000004</v>
      </c>
      <c r="DL17" s="146">
        <v>0.96</v>
      </c>
      <c r="DM17" s="146">
        <v>0.95699999999999996</v>
      </c>
      <c r="DN17" s="146">
        <v>0.95599999999999996</v>
      </c>
      <c r="DO17" s="146">
        <v>0.95799999999999996</v>
      </c>
      <c r="DP17" s="146">
        <v>0.96199999999999997</v>
      </c>
      <c r="DQ17" s="146">
        <v>0.96199999999999997</v>
      </c>
      <c r="DR17" s="146">
        <v>0.95599999999999996</v>
      </c>
      <c r="DS17" s="146">
        <v>0.96699999999999997</v>
      </c>
      <c r="DT17" s="146">
        <v>0.95899999999999996</v>
      </c>
      <c r="DU17" s="146">
        <v>0.95799999999999996</v>
      </c>
      <c r="DV17" s="146">
        <v>0.95799999999999996</v>
      </c>
      <c r="DW17" s="146">
        <v>0.96599999999999997</v>
      </c>
      <c r="DX17" s="146">
        <v>0.95499999999999996</v>
      </c>
      <c r="DY17" s="146">
        <v>0.96299999999999997</v>
      </c>
      <c r="DZ17" s="146">
        <v>0.95799999999999996</v>
      </c>
      <c r="EA17" s="146">
        <v>0.96099999999999997</v>
      </c>
      <c r="EB17" s="146">
        <v>0.96199999999999997</v>
      </c>
      <c r="EC17" s="146">
        <v>0.95699999999999996</v>
      </c>
      <c r="ED17" s="146">
        <v>0.96299999999999997</v>
      </c>
      <c r="EE17" s="146">
        <v>0.96399999999999997</v>
      </c>
      <c r="EF17" s="146">
        <v>0.96399999999999997</v>
      </c>
      <c r="EG17" s="146">
        <v>0.96299999999999997</v>
      </c>
      <c r="EH17" s="146">
        <v>0.96099999999999997</v>
      </c>
      <c r="EI17" s="146">
        <v>0.94499999999999995</v>
      </c>
      <c r="EJ17" s="146">
        <v>0.96299999999999997</v>
      </c>
      <c r="EK17" s="146">
        <v>0.96299999999999997</v>
      </c>
      <c r="EL17" s="146">
        <v>0.96399999999999997</v>
      </c>
      <c r="EM17" s="146">
        <v>0.96399999999999997</v>
      </c>
      <c r="EN17" s="146">
        <v>0.96299999999999997</v>
      </c>
      <c r="EO17" s="146">
        <v>0.96599999999999997</v>
      </c>
      <c r="EP17" s="146">
        <v>0.97099999999999997</v>
      </c>
      <c r="EQ17" s="146">
        <v>0.96299999999999997</v>
      </c>
      <c r="ER17" s="146">
        <v>0.96399999999999997</v>
      </c>
      <c r="ES17" s="146">
        <v>0.96399999999999997</v>
      </c>
      <c r="ET17" s="146">
        <v>0.96799999999999997</v>
      </c>
      <c r="EU17" s="146">
        <v>0.96799999999999997</v>
      </c>
      <c r="EV17" s="146">
        <v>0.97</v>
      </c>
      <c r="EW17" s="146">
        <v>0.96199999999999997</v>
      </c>
      <c r="EX17" s="146">
        <v>0.96899999999999997</v>
      </c>
      <c r="EY17" s="146">
        <v>0.96599999999999997</v>
      </c>
      <c r="EZ17" s="146">
        <v>0.96599999999999997</v>
      </c>
      <c r="FA17" s="146">
        <v>0.96899999999999997</v>
      </c>
      <c r="FB17" s="146">
        <v>0.97699999999999998</v>
      </c>
      <c r="FC17" s="146">
        <v>0.96099999999999997</v>
      </c>
      <c r="FD17" s="146">
        <v>0.97299999999999998</v>
      </c>
      <c r="FE17" s="146">
        <v>0.97499999999999998</v>
      </c>
      <c r="FF17" s="146">
        <v>0.97399999999999998</v>
      </c>
      <c r="FG17" s="146">
        <v>0.96699999999999997</v>
      </c>
      <c r="FH17" s="146">
        <v>0.99199999999999999</v>
      </c>
      <c r="FI17" s="146">
        <v>1.002</v>
      </c>
      <c r="FJ17" s="146">
        <v>0.999</v>
      </c>
      <c r="FK17" s="146">
        <v>0.998</v>
      </c>
      <c r="FL17" s="146">
        <v>0.995</v>
      </c>
      <c r="FM17" s="146">
        <v>0.98699999999999999</v>
      </c>
      <c r="FN17" s="146">
        <v>0.98699999999999999</v>
      </c>
      <c r="FO17" s="146">
        <v>0.98499999999999999</v>
      </c>
      <c r="FP17" s="146">
        <v>0.996</v>
      </c>
      <c r="FQ17" s="146">
        <v>0.99299999999999999</v>
      </c>
      <c r="FR17" s="146">
        <v>0.98899999999999999</v>
      </c>
      <c r="FS17" s="146">
        <v>1.0169999999999999</v>
      </c>
      <c r="FT17" s="146">
        <v>1.02</v>
      </c>
      <c r="FU17" s="146">
        <v>1.0269999999999999</v>
      </c>
      <c r="FV17" s="146">
        <v>1.016</v>
      </c>
      <c r="FW17" s="146">
        <v>1.2470000000000001</v>
      </c>
      <c r="FX17" s="146">
        <v>0.97499999999999998</v>
      </c>
      <c r="FY17" s="146">
        <v>0.94799999999999995</v>
      </c>
      <c r="FZ17" s="146">
        <v>0.96899999999999997</v>
      </c>
      <c r="GA17" s="146">
        <v>0.95299999999999996</v>
      </c>
      <c r="GB17" s="146">
        <v>0.96399999999999997</v>
      </c>
      <c r="GC17" s="146">
        <v>0.94699999999999995</v>
      </c>
      <c r="GD17" s="146">
        <v>0.95599999999999996</v>
      </c>
      <c r="GE17" s="146">
        <v>0.96</v>
      </c>
      <c r="GF17" s="146">
        <v>0.95899999999999996</v>
      </c>
      <c r="GG17" s="146">
        <v>0.95799999999999996</v>
      </c>
      <c r="GH17" s="146">
        <v>0.95899999999999996</v>
      </c>
      <c r="GI17" s="146">
        <v>0.97</v>
      </c>
      <c r="GJ17" s="146">
        <v>0.97</v>
      </c>
      <c r="GK17" s="146">
        <v>0.95399999999999996</v>
      </c>
      <c r="GL17" s="146">
        <v>0.97099999999999997</v>
      </c>
      <c r="GM17" s="146">
        <v>0.97</v>
      </c>
      <c r="GN17" s="146">
        <v>0.95899999999999996</v>
      </c>
      <c r="GO17" s="146">
        <v>0.96</v>
      </c>
      <c r="GP17" s="146">
        <v>0.96699999999999997</v>
      </c>
      <c r="GQ17" s="146">
        <v>0.97699999999999998</v>
      </c>
      <c r="GR17" s="146">
        <v>0.96799999999999997</v>
      </c>
      <c r="GS17" s="150"/>
      <c r="GT17" s="150"/>
      <c r="GU17" s="150"/>
      <c r="GV17" s="149">
        <f>'[1]Sept 07'!H47</f>
        <v>4.7061951608614733E-2</v>
      </c>
      <c r="GW17" s="149">
        <f>'[1]Oct 07'!H47</f>
        <v>6.0887512899896801E-2</v>
      </c>
      <c r="GX17" s="149">
        <f>'[1]Nov 07'!H47</f>
        <v>4.2531645569620254E-2</v>
      </c>
      <c r="GY17" s="149">
        <f>'[1]Dec 07'!H47</f>
        <v>5.0761421319796954E-2</v>
      </c>
      <c r="GZ17" s="149">
        <f>'[1]Jan 08'!H47</f>
        <v>4.5016851227732309E-2</v>
      </c>
      <c r="HA17" s="149">
        <f>'[1]Feb 08'!H47</f>
        <v>5.3361542078044194E-2</v>
      </c>
      <c r="HB17" s="149">
        <f>'[1]Mar 08'!H47</f>
        <v>5.7156133828996279E-2</v>
      </c>
      <c r="HC17" s="149">
        <v>6.3544363379618732E-2</v>
      </c>
      <c r="HD17" s="149">
        <f>'[1]May 08'!H47</f>
        <v>7.3837066207236027E-2</v>
      </c>
      <c r="HE17" s="149">
        <f>'[1]Jun 08'!H47</f>
        <v>8.145140827201218E-2</v>
      </c>
      <c r="HF17" s="149">
        <f>'[1]Jul 08'!H47</f>
        <v>7.3863636363636367E-2</v>
      </c>
      <c r="HG17" s="149">
        <v>7.0999999999999994E-2</v>
      </c>
      <c r="HH17" s="149">
        <v>6.0999999999999999E-2</v>
      </c>
      <c r="HI17" s="149">
        <v>5.7000000000000002E-2</v>
      </c>
      <c r="HJ17" s="149">
        <v>4.2999999999999997E-2</v>
      </c>
      <c r="HK17" s="149">
        <v>0.06</v>
      </c>
      <c r="HL17" s="149">
        <v>4.3999999999999997E-2</v>
      </c>
      <c r="HM17" s="149">
        <v>0.05</v>
      </c>
      <c r="HN17" s="149">
        <v>6.2E-2</v>
      </c>
      <c r="HO17" s="149">
        <v>8.2000000000000003E-2</v>
      </c>
      <c r="HP17" s="149">
        <v>0.108</v>
      </c>
      <c r="HQ17" s="149">
        <v>0.14799999999999999</v>
      </c>
      <c r="HR17" s="149">
        <v>0.14099999999999999</v>
      </c>
      <c r="HS17" s="149">
        <v>0.12</v>
      </c>
      <c r="HT17" s="149">
        <v>0.124</v>
      </c>
      <c r="HU17" s="149">
        <v>0.12</v>
      </c>
      <c r="HV17" s="149">
        <v>0.11899999999999999</v>
      </c>
      <c r="HW17" s="149">
        <v>0.13200000000000001</v>
      </c>
      <c r="HX17" s="149">
        <v>9.0999999999999998E-2</v>
      </c>
      <c r="HY17" s="149">
        <v>0.10299999999999999</v>
      </c>
      <c r="HZ17" s="149">
        <v>0.153</v>
      </c>
      <c r="IA17" s="149">
        <v>0.151</v>
      </c>
      <c r="IB17" s="149">
        <v>0.16500000000000001</v>
      </c>
      <c r="IC17" s="149">
        <v>0.17599999999999999</v>
      </c>
      <c r="ID17" s="149">
        <v>0.14299999999999999</v>
      </c>
      <c r="IE17" s="149">
        <v>0.14299999999999999</v>
      </c>
      <c r="IF17" s="149">
        <v>0.105</v>
      </c>
      <c r="IG17" s="149">
        <v>0.11899999999999999</v>
      </c>
      <c r="IH17" s="149">
        <v>0.122</v>
      </c>
      <c r="II17" s="149">
        <v>0.155</v>
      </c>
      <c r="IJ17" s="149">
        <v>0.125</v>
      </c>
      <c r="IK17" s="149">
        <v>0.154</v>
      </c>
      <c r="IL17" s="149">
        <v>0.186</v>
      </c>
      <c r="IM17" s="149">
        <v>0.222</v>
      </c>
      <c r="IN17" s="149">
        <v>0.247</v>
      </c>
      <c r="IO17" s="149">
        <v>0.32800000000000001</v>
      </c>
      <c r="IP17" s="149">
        <v>0.253</v>
      </c>
      <c r="IQ17" s="149">
        <v>0.26700000000000002</v>
      </c>
      <c r="IR17" s="149">
        <v>0.22700000000000001</v>
      </c>
      <c r="IS17" s="149">
        <v>0.221</v>
      </c>
      <c r="IT17" s="149">
        <v>0.182</v>
      </c>
      <c r="IU17" s="149">
        <v>0.23499999999999999</v>
      </c>
      <c r="IV17" s="149">
        <v>0.182</v>
      </c>
      <c r="IW17" s="149">
        <v>0.221</v>
      </c>
      <c r="IX17" s="149">
        <v>0.307</v>
      </c>
      <c r="IY17" s="149">
        <v>0.35599999999999998</v>
      </c>
      <c r="IZ17" s="149">
        <v>0.41499999999999998</v>
      </c>
      <c r="JA17" s="149">
        <v>0.38</v>
      </c>
      <c r="JB17" s="149">
        <v>0.32200000000000001</v>
      </c>
      <c r="JC17" s="149">
        <v>0.34799999999999998</v>
      </c>
      <c r="JD17" s="149">
        <v>0.28199999999999997</v>
      </c>
      <c r="JE17" s="149">
        <v>0.26300000000000001</v>
      </c>
      <c r="JF17" s="149">
        <v>0.246</v>
      </c>
      <c r="JG17" s="149">
        <v>0.27600000000000002</v>
      </c>
      <c r="JH17" s="149">
        <v>0.21299999999999999</v>
      </c>
      <c r="JI17" s="149">
        <v>0.248</v>
      </c>
      <c r="JJ17" s="149">
        <v>0.311</v>
      </c>
      <c r="JK17" s="149">
        <v>0.34799999999999998</v>
      </c>
      <c r="JL17" s="149">
        <v>0.371</v>
      </c>
      <c r="JM17" s="149">
        <v>0.38900000000000001</v>
      </c>
      <c r="JN17" s="149">
        <v>0.375</v>
      </c>
      <c r="JO17" s="149">
        <v>0.27</v>
      </c>
      <c r="JP17" s="149">
        <v>0.216</v>
      </c>
      <c r="JQ17" s="149">
        <v>0.16900000000000001</v>
      </c>
      <c r="JR17" s="149">
        <v>0.16400000000000001</v>
      </c>
      <c r="JS17" s="149">
        <v>0.17599999999999999</v>
      </c>
      <c r="JT17" s="149">
        <v>0.115</v>
      </c>
      <c r="JU17" s="149">
        <v>0.13200000000000001</v>
      </c>
      <c r="JV17" s="149">
        <v>0.158</v>
      </c>
      <c r="JW17" s="149">
        <v>0.19400000000000001</v>
      </c>
      <c r="JX17" s="149">
        <v>0.189</v>
      </c>
      <c r="JY17" s="149">
        <v>0.23</v>
      </c>
      <c r="JZ17" s="149">
        <v>0.20899999999999999</v>
      </c>
      <c r="KA17" s="149">
        <v>0.19400000000000001</v>
      </c>
      <c r="KB17" s="149">
        <v>0.186</v>
      </c>
      <c r="KC17" s="149">
        <v>0.159</v>
      </c>
      <c r="KD17" s="149">
        <v>0.12</v>
      </c>
      <c r="KE17" s="149">
        <v>0.183</v>
      </c>
      <c r="KF17" s="149">
        <v>0.129</v>
      </c>
      <c r="KG17" s="149">
        <v>0.13600000000000001</v>
      </c>
      <c r="KH17" s="149">
        <v>0.19800000000000001</v>
      </c>
      <c r="KI17" s="149">
        <v>0.21</v>
      </c>
      <c r="KJ17" s="149">
        <v>0.20899999999999999</v>
      </c>
      <c r="KK17" s="149">
        <v>0.24099999999999999</v>
      </c>
      <c r="KL17" s="149">
        <v>0.26500000000000001</v>
      </c>
      <c r="KM17" s="149">
        <v>0.216</v>
      </c>
      <c r="KN17" s="149">
        <v>0.216</v>
      </c>
      <c r="KO17" s="149">
        <v>0.17699999999999999</v>
      </c>
      <c r="KP17" s="149">
        <v>0.14199999999999999</v>
      </c>
      <c r="KQ17" s="149">
        <v>0.17199999999999999</v>
      </c>
      <c r="KR17" s="149">
        <v>0.114</v>
      </c>
      <c r="KS17" s="149">
        <v>0.124</v>
      </c>
      <c r="KT17" s="149">
        <v>0.18</v>
      </c>
      <c r="KU17" s="149">
        <v>0.19900000000000001</v>
      </c>
      <c r="KV17" s="149">
        <v>0.20499999999999999</v>
      </c>
      <c r="KW17" s="149">
        <v>0.23799999999999999</v>
      </c>
      <c r="KX17" s="149">
        <v>0.19500000000000001</v>
      </c>
      <c r="KY17" s="149">
        <v>0.245</v>
      </c>
      <c r="KZ17" s="149">
        <v>0.20599999999999999</v>
      </c>
      <c r="LA17" s="149">
        <v>0.18</v>
      </c>
      <c r="LB17" s="149">
        <v>0.16900000000000001</v>
      </c>
      <c r="LC17" s="149">
        <v>0.19</v>
      </c>
      <c r="LD17" s="149">
        <v>0.158</v>
      </c>
      <c r="LE17" s="149">
        <v>0.159</v>
      </c>
      <c r="LF17" s="149">
        <v>0.215</v>
      </c>
      <c r="LG17" s="149">
        <v>0.20899999999999999</v>
      </c>
      <c r="LH17" s="149">
        <v>0.25800000000000001</v>
      </c>
      <c r="LI17" s="149">
        <v>0.28000000000000003</v>
      </c>
      <c r="LJ17" s="149">
        <v>0.23599999999999999</v>
      </c>
      <c r="LK17" s="149">
        <v>0.25</v>
      </c>
      <c r="LL17" s="149">
        <v>0.20300000000000001</v>
      </c>
      <c r="LM17" s="149">
        <v>0.20100000000000001</v>
      </c>
      <c r="LN17" s="149">
        <v>0.19600000000000001</v>
      </c>
      <c r="LO17" s="149">
        <v>0.215</v>
      </c>
      <c r="LP17" s="149">
        <v>0.189</v>
      </c>
      <c r="LQ17" s="149">
        <v>0.20699999999999999</v>
      </c>
      <c r="LR17" s="149">
        <v>0.247</v>
      </c>
      <c r="LS17" s="149">
        <v>0.26100000000000001</v>
      </c>
      <c r="LT17" s="149">
        <v>0.33</v>
      </c>
      <c r="LU17" s="149">
        <v>0.33500000000000002</v>
      </c>
      <c r="LV17" s="149">
        <v>0.315</v>
      </c>
      <c r="LW17" s="149">
        <v>0.28599999999999998</v>
      </c>
      <c r="LX17" s="149">
        <v>0.21299999999999999</v>
      </c>
      <c r="LY17" s="149">
        <v>0.216</v>
      </c>
      <c r="LZ17" s="149">
        <v>0.2</v>
      </c>
      <c r="MA17" s="149">
        <v>0.20799999999999999</v>
      </c>
      <c r="MB17" s="149">
        <v>0.17199999999999999</v>
      </c>
      <c r="MC17" s="149">
        <v>0.189</v>
      </c>
      <c r="MD17" s="149">
        <v>0.22900000000000001</v>
      </c>
      <c r="ME17" s="149">
        <v>0.28000000000000003</v>
      </c>
      <c r="MF17" s="149">
        <v>0.34599999999999997</v>
      </c>
      <c r="MG17" s="145">
        <v>0.33400000000000002</v>
      </c>
      <c r="MH17" s="145">
        <v>0.36499999999999999</v>
      </c>
      <c r="MI17" s="145">
        <v>0.36199999999999999</v>
      </c>
      <c r="MJ17" s="145">
        <v>0.33500000000000002</v>
      </c>
      <c r="MK17" s="145">
        <v>0.315</v>
      </c>
      <c r="ML17" s="145">
        <v>0.27</v>
      </c>
      <c r="MM17" s="145">
        <v>0.36899999999999999</v>
      </c>
      <c r="MN17" s="145">
        <v>0.26400000000000001</v>
      </c>
      <c r="MO17" s="145">
        <v>0.379</v>
      </c>
      <c r="MP17" s="145">
        <v>0.36899999999999999</v>
      </c>
      <c r="MQ17" s="145">
        <v>0.254</v>
      </c>
      <c r="MR17" s="145">
        <v>0.26600000000000001</v>
      </c>
      <c r="MS17" s="145">
        <v>0.50900000000000001</v>
      </c>
      <c r="MT17" s="145">
        <v>0.63300000000000001</v>
      </c>
      <c r="MU17" s="145">
        <v>0.61499999999999999</v>
      </c>
      <c r="MV17" s="145">
        <v>0.59299999999999997</v>
      </c>
      <c r="MW17" s="145">
        <v>0.67800000000000005</v>
      </c>
      <c r="MX17" s="145">
        <v>0.70899999999999996</v>
      </c>
      <c r="MY17" s="145">
        <v>1.089</v>
      </c>
      <c r="MZ17" s="145">
        <v>1.0329999999999999</v>
      </c>
      <c r="NA17" s="145">
        <v>1.35</v>
      </c>
      <c r="NB17" s="145">
        <v>1.5669999999999999</v>
      </c>
      <c r="NC17" s="145">
        <v>1.321</v>
      </c>
      <c r="ND17" s="145">
        <v>1.345</v>
      </c>
      <c r="NE17" s="145">
        <v>1.1879999999999999</v>
      </c>
      <c r="NF17" s="145">
        <v>0.96699999999999997</v>
      </c>
      <c r="NG17" s="145">
        <v>0.90800000000000003</v>
      </c>
      <c r="NH17" s="145">
        <v>0.88700000000000001</v>
      </c>
      <c r="NI17" s="145">
        <v>0.873</v>
      </c>
      <c r="NJ17" s="145">
        <v>1.1559999999999999</v>
      </c>
      <c r="NK17" s="145">
        <v>1.1559999999999999</v>
      </c>
      <c r="NL17" s="145">
        <v>1.268</v>
      </c>
      <c r="NM17" s="145">
        <v>1.375</v>
      </c>
      <c r="NN17" s="145">
        <v>1.5029999999999999</v>
      </c>
      <c r="NO17" s="145">
        <v>1.0980000000000001</v>
      </c>
      <c r="NP17" s="145">
        <v>0.71399999999999997</v>
      </c>
      <c r="NQ17" s="145">
        <v>0.438</v>
      </c>
      <c r="NR17" s="145">
        <v>0.248</v>
      </c>
      <c r="NS17" s="145">
        <v>0.30599999999999999</v>
      </c>
      <c r="NT17" s="145">
        <v>0.25</v>
      </c>
      <c r="NU17" s="145">
        <v>0.23</v>
      </c>
      <c r="NV17" s="145">
        <v>0.23699999999999999</v>
      </c>
      <c r="NW17" s="145">
        <v>0.248</v>
      </c>
      <c r="NX17" s="145">
        <v>0.188</v>
      </c>
      <c r="NY17" s="145">
        <v>0.251</v>
      </c>
      <c r="NZ17" s="145">
        <v>0.39500000000000002</v>
      </c>
      <c r="OA17" s="145">
        <v>0.32600000000000001</v>
      </c>
      <c r="OB17" s="145">
        <v>0.498</v>
      </c>
      <c r="OC17" s="145">
        <v>0.53700000000000003</v>
      </c>
      <c r="OD17" s="145">
        <v>0.378</v>
      </c>
      <c r="OE17" s="145">
        <v>0.39300000000000002</v>
      </c>
      <c r="OF17" s="145">
        <v>0.28999999999999998</v>
      </c>
      <c r="OG17" s="145">
        <v>0.24099999999999999</v>
      </c>
      <c r="OH17" s="145">
        <v>0.249</v>
      </c>
      <c r="OI17" s="145">
        <v>0.27600000000000002</v>
      </c>
      <c r="OJ17" s="145">
        <v>0.20699999999999999</v>
      </c>
      <c r="OK17" s="145">
        <v>0.26100000000000001</v>
      </c>
      <c r="OL17" s="145">
        <v>0.28000000000000003</v>
      </c>
    </row>
    <row r="18" spans="1:402" s="149" customFormat="1" ht="14.25" customHeight="1" x14ac:dyDescent="0.35">
      <c r="A18" s="147"/>
      <c r="AF18" s="148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50"/>
      <c r="GT18" s="150"/>
      <c r="GU18" s="150"/>
    </row>
    <row r="19" spans="1:402" ht="16" thickBot="1" x14ac:dyDescent="0.4">
      <c r="A19" s="4"/>
      <c r="B19" s="5"/>
      <c r="C19" s="5"/>
      <c r="D19" s="5"/>
      <c r="E19" s="5"/>
      <c r="F19" s="5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5"/>
      <c r="GU19" s="5"/>
      <c r="GV19" s="5"/>
      <c r="GW19" s="5"/>
      <c r="GX19" s="5"/>
      <c r="GY19" s="5"/>
      <c r="GZ19" s="6"/>
      <c r="HA19" s="6"/>
      <c r="HB19" s="6"/>
      <c r="HC19" s="6"/>
      <c r="HD19" s="6"/>
      <c r="HE19" s="6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</row>
    <row r="20" spans="1:402" ht="18" x14ac:dyDescent="0.4">
      <c r="A20" s="8" t="s">
        <v>38</v>
      </c>
      <c r="B20" s="9"/>
      <c r="C20" s="9"/>
      <c r="D20" s="9"/>
      <c r="E20" s="9"/>
      <c r="F20" s="9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9"/>
      <c r="GU20" s="9"/>
      <c r="GV20" s="9"/>
      <c r="GW20" s="9"/>
      <c r="GX20" s="9"/>
      <c r="GY20" s="9"/>
      <c r="GZ20" s="10"/>
      <c r="HA20" s="10"/>
      <c r="HB20" s="10"/>
      <c r="HC20" s="10"/>
      <c r="HD20" s="10"/>
      <c r="HE20" s="10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</row>
    <row r="21" spans="1:402" ht="16" thickBot="1" x14ac:dyDescent="0.4">
      <c r="GU21" s="12" t="s">
        <v>2</v>
      </c>
    </row>
    <row r="22" spans="1:402" ht="15" customHeight="1" x14ac:dyDescent="0.35">
      <c r="B22" s="13">
        <v>2007</v>
      </c>
      <c r="C22" s="13"/>
      <c r="D22" s="13"/>
      <c r="E22" s="14"/>
      <c r="F22" s="15">
        <v>2008</v>
      </c>
      <c r="G22" s="16"/>
      <c r="H22" s="17"/>
      <c r="I22" s="16"/>
      <c r="J22" s="16"/>
      <c r="K22" s="16"/>
      <c r="L22" s="18"/>
      <c r="M22" s="18"/>
      <c r="N22" s="18"/>
      <c r="O22" s="18"/>
      <c r="P22" s="18"/>
      <c r="Q22" s="18"/>
      <c r="R22" s="19">
        <v>2009</v>
      </c>
      <c r="S22" s="19"/>
      <c r="T22" s="19"/>
      <c r="U22" s="19"/>
      <c r="V22" s="16"/>
      <c r="W22" s="16"/>
      <c r="X22" s="16"/>
      <c r="Y22" s="16"/>
      <c r="Z22" s="16"/>
      <c r="AA22" s="16"/>
      <c r="AB22" s="16"/>
      <c r="AC22" s="16"/>
      <c r="AD22" s="19">
        <v>2010</v>
      </c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>
        <v>2011</v>
      </c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9">
        <v>2012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9">
        <v>2013</v>
      </c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>
        <v>2014</v>
      </c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>
        <v>2015</v>
      </c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9">
        <v>2016</v>
      </c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9">
        <v>2017</v>
      </c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>
        <v>2018</v>
      </c>
      <c r="DW22" s="19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9">
        <v>2019</v>
      </c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9">
        <v>2020</v>
      </c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9">
        <v>2021</v>
      </c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>
        <v>2022</v>
      </c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>
        <v>2023</v>
      </c>
      <c r="GE22" s="19"/>
      <c r="GF22" s="16"/>
      <c r="GG22" s="19">
        <v>2023</v>
      </c>
      <c r="GH22" s="16"/>
      <c r="GI22" s="16"/>
      <c r="GJ22" s="16"/>
      <c r="GK22" s="16"/>
      <c r="GL22" s="16"/>
      <c r="GM22" s="16"/>
      <c r="GN22" s="16"/>
      <c r="GO22" s="16"/>
      <c r="GP22" s="19">
        <v>2024</v>
      </c>
      <c r="GQ22" s="19"/>
      <c r="GR22" s="183"/>
      <c r="GS22" s="13"/>
      <c r="GV22" s="13">
        <v>2007</v>
      </c>
      <c r="GW22" s="13"/>
      <c r="GX22" s="13"/>
      <c r="GY22" s="14"/>
      <c r="GZ22" s="15">
        <v>2008</v>
      </c>
      <c r="HA22" s="16"/>
      <c r="HB22" s="17"/>
      <c r="HC22" s="16"/>
      <c r="HD22" s="16"/>
      <c r="HE22" s="16"/>
      <c r="HF22" s="18"/>
      <c r="HG22" s="18"/>
      <c r="HH22" s="18"/>
      <c r="HI22" s="18"/>
      <c r="HJ22" s="18"/>
      <c r="HK22" s="18"/>
      <c r="HL22" s="19">
        <v>2009</v>
      </c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>
        <v>2010</v>
      </c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>
        <v>2011</v>
      </c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>
        <v>2012</v>
      </c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>
        <v>2013</v>
      </c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>
        <v>2014</v>
      </c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>
        <v>2015</v>
      </c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>
        <v>2016</v>
      </c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>
        <v>2017</v>
      </c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>
        <v>2018</v>
      </c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>
        <v>2019</v>
      </c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>
        <v>2020</v>
      </c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>
        <v>2021</v>
      </c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>
        <v>2022</v>
      </c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>
        <v>2023</v>
      </c>
      <c r="NY22" s="19"/>
      <c r="NZ22" s="19"/>
      <c r="OA22" s="19">
        <v>2023</v>
      </c>
      <c r="OB22" s="19"/>
      <c r="OC22" s="19"/>
      <c r="OD22" s="19"/>
      <c r="OE22" s="19"/>
      <c r="OF22" s="19"/>
      <c r="OG22" s="19"/>
      <c r="OH22" s="19"/>
      <c r="OI22" s="19"/>
      <c r="OJ22" s="19">
        <v>2024</v>
      </c>
      <c r="OK22" s="19"/>
      <c r="OL22" s="19"/>
    </row>
    <row r="23" spans="1:402" x14ac:dyDescent="0.35">
      <c r="B23" s="20" t="s">
        <v>3</v>
      </c>
      <c r="C23" s="21" t="s">
        <v>4</v>
      </c>
      <c r="D23" s="20" t="s">
        <v>5</v>
      </c>
      <c r="E23" s="20" t="s">
        <v>6</v>
      </c>
      <c r="F23" s="20" t="s">
        <v>7</v>
      </c>
      <c r="G23" s="20" t="s">
        <v>8</v>
      </c>
      <c r="H23" s="20" t="s">
        <v>9</v>
      </c>
      <c r="I23" s="20" t="s">
        <v>10</v>
      </c>
      <c r="J23" s="20" t="s">
        <v>11</v>
      </c>
      <c r="K23" s="20" t="s">
        <v>12</v>
      </c>
      <c r="L23" s="20" t="s">
        <v>13</v>
      </c>
      <c r="M23" s="20" t="s">
        <v>14</v>
      </c>
      <c r="N23" s="20" t="s">
        <v>3</v>
      </c>
      <c r="O23" s="20" t="s">
        <v>4</v>
      </c>
      <c r="P23" s="20" t="s">
        <v>5</v>
      </c>
      <c r="Q23" s="20" t="s">
        <v>15</v>
      </c>
      <c r="R23" s="22" t="s">
        <v>7</v>
      </c>
      <c r="S23" s="22" t="s">
        <v>8</v>
      </c>
      <c r="T23" s="22" t="s">
        <v>9</v>
      </c>
      <c r="U23" s="22" t="s">
        <v>10</v>
      </c>
      <c r="V23" s="22" t="s">
        <v>11</v>
      </c>
      <c r="W23" s="22" t="s">
        <v>12</v>
      </c>
      <c r="X23" s="22" t="s">
        <v>13</v>
      </c>
      <c r="Y23" s="22" t="s">
        <v>14</v>
      </c>
      <c r="Z23" s="22" t="s">
        <v>16</v>
      </c>
      <c r="AA23" s="22" t="s">
        <v>4</v>
      </c>
      <c r="AB23" s="22" t="s">
        <v>5</v>
      </c>
      <c r="AC23" s="22" t="s">
        <v>6</v>
      </c>
      <c r="AD23" s="22" t="s">
        <v>17</v>
      </c>
      <c r="AE23" s="22" t="s">
        <v>8</v>
      </c>
      <c r="AF23" s="22" t="s">
        <v>18</v>
      </c>
      <c r="AG23" s="22" t="s">
        <v>10</v>
      </c>
      <c r="AH23" s="22" t="s">
        <v>11</v>
      </c>
      <c r="AI23" s="22" t="s">
        <v>12</v>
      </c>
      <c r="AJ23" s="22" t="s">
        <v>13</v>
      </c>
      <c r="AK23" s="22" t="s">
        <v>14</v>
      </c>
      <c r="AL23" s="22" t="s">
        <v>16</v>
      </c>
      <c r="AM23" s="22" t="s">
        <v>19</v>
      </c>
      <c r="AN23" s="22" t="s">
        <v>5</v>
      </c>
      <c r="AO23" s="22" t="s">
        <v>6</v>
      </c>
      <c r="AP23" s="22" t="s">
        <v>7</v>
      </c>
      <c r="AQ23" s="22" t="s">
        <v>8</v>
      </c>
      <c r="AR23" s="22" t="s">
        <v>9</v>
      </c>
      <c r="AS23" s="22" t="s">
        <v>10</v>
      </c>
      <c r="AT23" s="22" t="s">
        <v>11</v>
      </c>
      <c r="AU23" s="22" t="s">
        <v>12</v>
      </c>
      <c r="AV23" s="22" t="s">
        <v>13</v>
      </c>
      <c r="AW23" s="22" t="s">
        <v>14</v>
      </c>
      <c r="AX23" s="22" t="s">
        <v>3</v>
      </c>
      <c r="AY23" s="22" t="s">
        <v>4</v>
      </c>
      <c r="AZ23" s="22" t="s">
        <v>5</v>
      </c>
      <c r="BA23" s="22" t="s">
        <v>15</v>
      </c>
      <c r="BB23" s="22" t="s">
        <v>7</v>
      </c>
      <c r="BC23" s="22" t="s">
        <v>8</v>
      </c>
      <c r="BD23" s="22" t="s">
        <v>18</v>
      </c>
      <c r="BE23" s="22" t="s">
        <v>10</v>
      </c>
      <c r="BF23" s="22" t="s">
        <v>11</v>
      </c>
      <c r="BG23" s="22" t="s">
        <v>12</v>
      </c>
      <c r="BH23" s="22" t="s">
        <v>20</v>
      </c>
      <c r="BI23" s="22" t="s">
        <v>21</v>
      </c>
      <c r="BJ23" s="22" t="s">
        <v>16</v>
      </c>
      <c r="BK23" s="22" t="s">
        <v>19</v>
      </c>
      <c r="BL23" s="22" t="s">
        <v>5</v>
      </c>
      <c r="BM23" s="22" t="s">
        <v>15</v>
      </c>
      <c r="BN23" s="22" t="s">
        <v>7</v>
      </c>
      <c r="BO23" s="22" t="s">
        <v>8</v>
      </c>
      <c r="BP23" s="22" t="s">
        <v>9</v>
      </c>
      <c r="BQ23" s="22" t="s">
        <v>10</v>
      </c>
      <c r="BR23" s="22" t="s">
        <v>11</v>
      </c>
      <c r="BS23" s="22" t="s">
        <v>12</v>
      </c>
      <c r="BT23" s="22" t="s">
        <v>20</v>
      </c>
      <c r="BU23" s="22" t="s">
        <v>21</v>
      </c>
      <c r="BV23" s="22" t="s">
        <v>22</v>
      </c>
      <c r="BW23" s="22" t="s">
        <v>4</v>
      </c>
      <c r="BX23" s="22" t="s">
        <v>5</v>
      </c>
      <c r="BY23" s="22" t="s">
        <v>6</v>
      </c>
      <c r="BZ23" s="22" t="s">
        <v>17</v>
      </c>
      <c r="CA23" s="22" t="s">
        <v>23</v>
      </c>
      <c r="CB23" s="22" t="s">
        <v>18</v>
      </c>
      <c r="CC23" s="22" t="s">
        <v>24</v>
      </c>
      <c r="CD23" s="22" t="s">
        <v>11</v>
      </c>
      <c r="CE23" s="22" t="s">
        <v>12</v>
      </c>
      <c r="CF23" s="22" t="s">
        <v>13</v>
      </c>
      <c r="CG23" s="22" t="s">
        <v>14</v>
      </c>
      <c r="CH23" s="22" t="s">
        <v>16</v>
      </c>
      <c r="CI23" s="22" t="s">
        <v>4</v>
      </c>
      <c r="CJ23" s="22" t="s">
        <v>5</v>
      </c>
      <c r="CK23" s="22" t="s">
        <v>6</v>
      </c>
      <c r="CL23" s="22" t="s">
        <v>7</v>
      </c>
      <c r="CM23" s="22" t="s">
        <v>8</v>
      </c>
      <c r="CN23" s="22" t="s">
        <v>18</v>
      </c>
      <c r="CO23" s="22" t="s">
        <v>10</v>
      </c>
      <c r="CP23" s="22" t="s">
        <v>11</v>
      </c>
      <c r="CQ23" s="22" t="s">
        <v>12</v>
      </c>
      <c r="CR23" s="22" t="s">
        <v>20</v>
      </c>
      <c r="CS23" s="22" t="s">
        <v>14</v>
      </c>
      <c r="CT23" s="22" t="s">
        <v>22</v>
      </c>
      <c r="CU23" s="22" t="s">
        <v>19</v>
      </c>
      <c r="CV23" s="22" t="s">
        <v>5</v>
      </c>
      <c r="CW23" s="22" t="s">
        <v>15</v>
      </c>
      <c r="CX23" s="22" t="s">
        <v>7</v>
      </c>
      <c r="CY23" s="22" t="s">
        <v>23</v>
      </c>
      <c r="CZ23" s="22" t="s">
        <v>18</v>
      </c>
      <c r="DA23" s="22" t="s">
        <v>24</v>
      </c>
      <c r="DB23" s="22" t="s">
        <v>11</v>
      </c>
      <c r="DC23" s="22" t="s">
        <v>12</v>
      </c>
      <c r="DD23" s="22" t="s">
        <v>13</v>
      </c>
      <c r="DE23" s="22" t="s">
        <v>14</v>
      </c>
      <c r="DF23" s="22" t="s">
        <v>16</v>
      </c>
      <c r="DG23" s="22" t="s">
        <v>4</v>
      </c>
      <c r="DH23" s="22" t="s">
        <v>5</v>
      </c>
      <c r="DI23" s="22" t="s">
        <v>15</v>
      </c>
      <c r="DJ23" s="22" t="s">
        <v>7</v>
      </c>
      <c r="DK23" s="22" t="s">
        <v>8</v>
      </c>
      <c r="DL23" s="22" t="s">
        <v>18</v>
      </c>
      <c r="DM23" s="22" t="s">
        <v>24</v>
      </c>
      <c r="DN23" s="22" t="s">
        <v>11</v>
      </c>
      <c r="DO23" s="22" t="s">
        <v>12</v>
      </c>
      <c r="DP23" s="22" t="s">
        <v>20</v>
      </c>
      <c r="DQ23" s="22" t="s">
        <v>14</v>
      </c>
      <c r="DR23" s="22" t="s">
        <v>22</v>
      </c>
      <c r="DS23" s="22" t="s">
        <v>19</v>
      </c>
      <c r="DT23" s="22" t="s">
        <v>5</v>
      </c>
      <c r="DU23" s="22" t="s">
        <v>15</v>
      </c>
      <c r="DV23" s="22" t="s">
        <v>7</v>
      </c>
      <c r="DW23" s="22" t="s">
        <v>8</v>
      </c>
      <c r="DX23" s="22" t="s">
        <v>18</v>
      </c>
      <c r="DY23" s="22" t="s">
        <v>24</v>
      </c>
      <c r="DZ23" s="22" t="s">
        <v>11</v>
      </c>
      <c r="EA23" s="22" t="s">
        <v>12</v>
      </c>
      <c r="EB23" s="22" t="s">
        <v>20</v>
      </c>
      <c r="EC23" s="22" t="s">
        <v>21</v>
      </c>
      <c r="ED23" s="22" t="s">
        <v>22</v>
      </c>
      <c r="EE23" s="22" t="s">
        <v>4</v>
      </c>
      <c r="EF23" s="22" t="s">
        <v>5</v>
      </c>
      <c r="EG23" s="22" t="s">
        <v>15</v>
      </c>
      <c r="EH23" s="22" t="s">
        <v>17</v>
      </c>
      <c r="EI23" s="22" t="s">
        <v>23</v>
      </c>
      <c r="EJ23" s="22" t="s">
        <v>18</v>
      </c>
      <c r="EK23" s="22" t="s">
        <v>24</v>
      </c>
      <c r="EL23" s="22" t="s">
        <v>11</v>
      </c>
      <c r="EM23" s="22" t="s">
        <v>12</v>
      </c>
      <c r="EN23" s="22" t="s">
        <v>20</v>
      </c>
      <c r="EO23" s="22" t="s">
        <v>21</v>
      </c>
      <c r="EP23" s="22" t="s">
        <v>22</v>
      </c>
      <c r="EQ23" s="22" t="s">
        <v>4</v>
      </c>
      <c r="ER23" s="22" t="s">
        <v>5</v>
      </c>
      <c r="ES23" s="22" t="s">
        <v>6</v>
      </c>
      <c r="ET23" s="22" t="s">
        <v>17</v>
      </c>
      <c r="EU23" s="22" t="s">
        <v>8</v>
      </c>
      <c r="EV23" s="22" t="s">
        <v>18</v>
      </c>
      <c r="EW23" s="22" t="s">
        <v>24</v>
      </c>
      <c r="EX23" s="22" t="s">
        <v>11</v>
      </c>
      <c r="EY23" s="22" t="s">
        <v>12</v>
      </c>
      <c r="EZ23" s="22" t="s">
        <v>20</v>
      </c>
      <c r="FA23" s="22" t="s">
        <v>14</v>
      </c>
      <c r="FB23" s="22" t="s">
        <v>22</v>
      </c>
      <c r="FC23" s="22" t="s">
        <v>4</v>
      </c>
      <c r="FD23" s="22" t="s">
        <v>5</v>
      </c>
      <c r="FE23" s="22" t="s">
        <v>6</v>
      </c>
      <c r="FF23" s="22" t="s">
        <v>7</v>
      </c>
      <c r="FG23" s="22" t="s">
        <v>8</v>
      </c>
      <c r="FH23" s="22" t="s">
        <v>9</v>
      </c>
      <c r="FI23" s="22" t="s">
        <v>24</v>
      </c>
      <c r="FJ23" s="22" t="s">
        <v>11</v>
      </c>
      <c r="FK23" s="22" t="s">
        <v>12</v>
      </c>
      <c r="FL23" s="22" t="s">
        <v>20</v>
      </c>
      <c r="FM23" s="22" t="s">
        <v>14</v>
      </c>
      <c r="FN23" s="22" t="s">
        <v>22</v>
      </c>
      <c r="FO23" s="22" t="s">
        <v>19</v>
      </c>
      <c r="FP23" s="22" t="s">
        <v>27</v>
      </c>
      <c r="FQ23" s="22" t="s">
        <v>15</v>
      </c>
      <c r="FR23" s="22" t="s">
        <v>7</v>
      </c>
      <c r="FS23" s="22" t="s">
        <v>8</v>
      </c>
      <c r="FT23" s="22" t="s">
        <v>9</v>
      </c>
      <c r="FU23" s="22" t="s">
        <v>10</v>
      </c>
      <c r="FV23" s="22" t="s">
        <v>11</v>
      </c>
      <c r="FW23" s="22" t="s">
        <v>12</v>
      </c>
      <c r="FX23" s="22" t="s">
        <v>20</v>
      </c>
      <c r="FY23" s="22" t="s">
        <v>14</v>
      </c>
      <c r="FZ23" s="22" t="s">
        <v>16</v>
      </c>
      <c r="GA23" s="22" t="s">
        <v>19</v>
      </c>
      <c r="GB23" s="22" t="s">
        <v>5</v>
      </c>
      <c r="GC23" s="22" t="s">
        <v>6</v>
      </c>
      <c r="GD23" s="22" t="s">
        <v>7</v>
      </c>
      <c r="GE23" s="22" t="s">
        <v>8</v>
      </c>
      <c r="GF23" s="22" t="s">
        <v>18</v>
      </c>
      <c r="GG23" s="22" t="s">
        <v>24</v>
      </c>
      <c r="GH23" s="22" t="s">
        <v>11</v>
      </c>
      <c r="GI23" s="22" t="s">
        <v>12</v>
      </c>
      <c r="GJ23" s="22" t="s">
        <v>13</v>
      </c>
      <c r="GK23" s="22" t="s">
        <v>14</v>
      </c>
      <c r="GL23" s="22" t="s">
        <v>22</v>
      </c>
      <c r="GM23" s="22" t="s">
        <v>4</v>
      </c>
      <c r="GN23" s="22" t="s">
        <v>5</v>
      </c>
      <c r="GO23" s="22" t="s">
        <v>6</v>
      </c>
      <c r="GP23" s="22" t="s">
        <v>7</v>
      </c>
      <c r="GQ23" s="22" t="s">
        <v>8</v>
      </c>
      <c r="GR23" s="22" t="s">
        <v>18</v>
      </c>
      <c r="GS23" s="22" t="s">
        <v>25</v>
      </c>
      <c r="GT23" s="2"/>
      <c r="GU23" s="2"/>
      <c r="GV23" s="20" t="s">
        <v>3</v>
      </c>
      <c r="GW23" s="21" t="s">
        <v>4</v>
      </c>
      <c r="GX23" s="20" t="s">
        <v>5</v>
      </c>
      <c r="GY23" s="20" t="s">
        <v>6</v>
      </c>
      <c r="GZ23" s="20" t="s">
        <v>7</v>
      </c>
      <c r="HA23" s="20" t="s">
        <v>8</v>
      </c>
      <c r="HB23" s="20" t="s">
        <v>9</v>
      </c>
      <c r="HC23" s="20" t="s">
        <v>10</v>
      </c>
      <c r="HD23" s="20" t="s">
        <v>11</v>
      </c>
      <c r="HE23" s="20" t="s">
        <v>12</v>
      </c>
      <c r="HF23" s="20" t="s">
        <v>13</v>
      </c>
      <c r="HG23" s="20" t="s">
        <v>14</v>
      </c>
      <c r="HH23" s="20" t="s">
        <v>3</v>
      </c>
      <c r="HI23" s="20" t="s">
        <v>4</v>
      </c>
      <c r="HJ23" s="20" t="s">
        <v>5</v>
      </c>
      <c r="HK23" s="20" t="s">
        <v>15</v>
      </c>
      <c r="HL23" s="22" t="s">
        <v>7</v>
      </c>
      <c r="HM23" s="22" t="s">
        <v>8</v>
      </c>
      <c r="HN23" s="22" t="s">
        <v>9</v>
      </c>
      <c r="HO23" s="22" t="s">
        <v>10</v>
      </c>
      <c r="HP23" s="22" t="s">
        <v>11</v>
      </c>
      <c r="HQ23" s="22" t="s">
        <v>12</v>
      </c>
      <c r="HR23" s="22" t="s">
        <v>13</v>
      </c>
      <c r="HS23" s="22" t="s">
        <v>14</v>
      </c>
      <c r="HT23" s="22" t="s">
        <v>16</v>
      </c>
      <c r="HU23" s="22" t="s">
        <v>4</v>
      </c>
      <c r="HV23" s="22" t="s">
        <v>5</v>
      </c>
      <c r="HW23" s="22" t="s">
        <v>6</v>
      </c>
      <c r="HX23" s="22" t="s">
        <v>17</v>
      </c>
      <c r="HY23" s="22" t="s">
        <v>8</v>
      </c>
      <c r="HZ23" s="22" t="s">
        <v>18</v>
      </c>
      <c r="IA23" s="22" t="s">
        <v>10</v>
      </c>
      <c r="IB23" s="22" t="s">
        <v>11</v>
      </c>
      <c r="IC23" s="22" t="s">
        <v>12</v>
      </c>
      <c r="ID23" s="22" t="s">
        <v>13</v>
      </c>
      <c r="IE23" s="22" t="s">
        <v>26</v>
      </c>
      <c r="IF23" s="22" t="s">
        <v>16</v>
      </c>
      <c r="IG23" s="22" t="s">
        <v>4</v>
      </c>
      <c r="IH23" s="22" t="s">
        <v>5</v>
      </c>
      <c r="II23" s="22" t="s">
        <v>6</v>
      </c>
      <c r="IJ23" s="22" t="s">
        <v>7</v>
      </c>
      <c r="IK23" s="22" t="s">
        <v>8</v>
      </c>
      <c r="IL23" s="22" t="s">
        <v>18</v>
      </c>
      <c r="IM23" s="22" t="s">
        <v>10</v>
      </c>
      <c r="IN23" s="22" t="s">
        <v>11</v>
      </c>
      <c r="IO23" s="22" t="s">
        <v>12</v>
      </c>
      <c r="IP23" s="22" t="s">
        <v>13</v>
      </c>
      <c r="IQ23" s="22" t="s">
        <v>14</v>
      </c>
      <c r="IR23" s="22" t="s">
        <v>3</v>
      </c>
      <c r="IS23" s="22" t="s">
        <v>4</v>
      </c>
      <c r="IT23" s="22" t="s">
        <v>5</v>
      </c>
      <c r="IU23" s="22" t="s">
        <v>15</v>
      </c>
      <c r="IV23" s="22" t="s">
        <v>7</v>
      </c>
      <c r="IW23" s="22" t="s">
        <v>8</v>
      </c>
      <c r="IX23" s="22" t="s">
        <v>18</v>
      </c>
      <c r="IY23" s="22" t="s">
        <v>10</v>
      </c>
      <c r="IZ23" s="22" t="s">
        <v>11</v>
      </c>
      <c r="JA23" s="22" t="s">
        <v>12</v>
      </c>
      <c r="JB23" s="22" t="s">
        <v>12</v>
      </c>
      <c r="JC23" s="22" t="s">
        <v>21</v>
      </c>
      <c r="JD23" s="22" t="s">
        <v>16</v>
      </c>
      <c r="JE23" s="22" t="s">
        <v>4</v>
      </c>
      <c r="JF23" s="22" t="s">
        <v>5</v>
      </c>
      <c r="JG23" s="22" t="s">
        <v>6</v>
      </c>
      <c r="JH23" s="22" t="s">
        <v>7</v>
      </c>
      <c r="JI23" s="22" t="s">
        <v>8</v>
      </c>
      <c r="JJ23" s="22" t="s">
        <v>9</v>
      </c>
      <c r="JK23" s="22" t="s">
        <v>10</v>
      </c>
      <c r="JL23" s="22" t="s">
        <v>11</v>
      </c>
      <c r="JM23" s="22" t="s">
        <v>12</v>
      </c>
      <c r="JN23" s="22" t="s">
        <v>20</v>
      </c>
      <c r="JO23" s="22" t="s">
        <v>14</v>
      </c>
      <c r="JP23" s="22" t="s">
        <v>22</v>
      </c>
      <c r="JQ23" s="22" t="s">
        <v>4</v>
      </c>
      <c r="JR23" s="22" t="s">
        <v>5</v>
      </c>
      <c r="JS23" s="22" t="s">
        <v>6</v>
      </c>
      <c r="JT23" s="22" t="s">
        <v>17</v>
      </c>
      <c r="JU23" s="22" t="s">
        <v>23</v>
      </c>
      <c r="JV23" s="22" t="s">
        <v>18</v>
      </c>
      <c r="JW23" s="22" t="s">
        <v>24</v>
      </c>
      <c r="JX23" s="22" t="s">
        <v>11</v>
      </c>
      <c r="JY23" s="22" t="s">
        <v>12</v>
      </c>
      <c r="JZ23" s="22" t="s">
        <v>13</v>
      </c>
      <c r="KA23" s="22" t="s">
        <v>14</v>
      </c>
      <c r="KB23" s="22" t="s">
        <v>22</v>
      </c>
      <c r="KC23" s="22" t="s">
        <v>4</v>
      </c>
      <c r="KD23" s="22" t="s">
        <v>5</v>
      </c>
      <c r="KE23" s="22" t="s">
        <v>6</v>
      </c>
      <c r="KF23" s="22" t="s">
        <v>17</v>
      </c>
      <c r="KG23" s="22" t="s">
        <v>8</v>
      </c>
      <c r="KH23" s="22" t="s">
        <v>18</v>
      </c>
      <c r="KI23" s="22" t="s">
        <v>10</v>
      </c>
      <c r="KJ23" s="22" t="s">
        <v>11</v>
      </c>
      <c r="KK23" s="22" t="s">
        <v>12</v>
      </c>
      <c r="KL23" s="22" t="s">
        <v>20</v>
      </c>
      <c r="KM23" s="22" t="s">
        <v>21</v>
      </c>
      <c r="KN23" s="22" t="s">
        <v>16</v>
      </c>
      <c r="KO23" s="22" t="s">
        <v>19</v>
      </c>
      <c r="KP23" s="22" t="s">
        <v>5</v>
      </c>
      <c r="KQ23" s="22" t="s">
        <v>6</v>
      </c>
      <c r="KR23" s="22" t="s">
        <v>7</v>
      </c>
      <c r="KS23" s="22" t="s">
        <v>8</v>
      </c>
      <c r="KT23" s="22" t="s">
        <v>18</v>
      </c>
      <c r="KU23" s="22" t="s">
        <v>24</v>
      </c>
      <c r="KV23" s="22" t="s">
        <v>11</v>
      </c>
      <c r="KW23" s="22" t="s">
        <v>12</v>
      </c>
      <c r="KX23" s="22" t="s">
        <v>20</v>
      </c>
      <c r="KY23" s="22" t="s">
        <v>14</v>
      </c>
      <c r="KZ23" s="22" t="s">
        <v>16</v>
      </c>
      <c r="LA23" s="22" t="s">
        <v>4</v>
      </c>
      <c r="LB23" s="22" t="s">
        <v>27</v>
      </c>
      <c r="LC23" s="22" t="s">
        <v>6</v>
      </c>
      <c r="LD23" s="22" t="s">
        <v>7</v>
      </c>
      <c r="LE23" s="22" t="s">
        <v>8</v>
      </c>
      <c r="LF23" s="22" t="s">
        <v>9</v>
      </c>
      <c r="LG23" s="22" t="s">
        <v>24</v>
      </c>
      <c r="LH23" s="22" t="s">
        <v>11</v>
      </c>
      <c r="LI23" s="22" t="s">
        <v>12</v>
      </c>
      <c r="LJ23" s="22" t="s">
        <v>20</v>
      </c>
      <c r="LK23" s="22" t="s">
        <v>14</v>
      </c>
      <c r="LL23" s="22" t="s">
        <v>22</v>
      </c>
      <c r="LM23" s="22" t="s">
        <v>19</v>
      </c>
      <c r="LN23" s="22" t="s">
        <v>5</v>
      </c>
      <c r="LO23" s="22" t="s">
        <v>15</v>
      </c>
      <c r="LP23" s="22" t="s">
        <v>7</v>
      </c>
      <c r="LQ23" s="22" t="s">
        <v>8</v>
      </c>
      <c r="LR23" s="22" t="s">
        <v>18</v>
      </c>
      <c r="LS23" s="22" t="s">
        <v>10</v>
      </c>
      <c r="LT23" s="22" t="s">
        <v>11</v>
      </c>
      <c r="LU23" s="22" t="s">
        <v>12</v>
      </c>
      <c r="LV23" s="22" t="s">
        <v>13</v>
      </c>
      <c r="LW23" s="22" t="s">
        <v>14</v>
      </c>
      <c r="LX23" s="22" t="s">
        <v>22</v>
      </c>
      <c r="LY23" s="22" t="s">
        <v>4</v>
      </c>
      <c r="LZ23" s="22" t="s">
        <v>5</v>
      </c>
      <c r="MA23" s="22" t="s">
        <v>6</v>
      </c>
      <c r="MB23" s="22" t="s">
        <v>17</v>
      </c>
      <c r="MC23" s="22" t="s">
        <v>8</v>
      </c>
      <c r="MD23" s="22" t="s">
        <v>18</v>
      </c>
      <c r="ME23" s="22" t="s">
        <v>24</v>
      </c>
      <c r="MF23" s="22" t="s">
        <v>11</v>
      </c>
      <c r="MG23" s="22" t="s">
        <v>101</v>
      </c>
      <c r="MH23" s="22" t="s">
        <v>20</v>
      </c>
      <c r="MI23" s="22" t="s">
        <v>14</v>
      </c>
      <c r="MJ23" s="22" t="s">
        <v>22</v>
      </c>
      <c r="MK23" s="22" t="s">
        <v>4</v>
      </c>
      <c r="ML23" s="22" t="s">
        <v>5</v>
      </c>
      <c r="MM23" s="22" t="s">
        <v>6</v>
      </c>
      <c r="MN23" s="22" t="s">
        <v>17</v>
      </c>
      <c r="MO23" s="22" t="s">
        <v>8</v>
      </c>
      <c r="MP23" s="22" t="s">
        <v>18</v>
      </c>
      <c r="MQ23" s="22" t="s">
        <v>24</v>
      </c>
      <c r="MR23" s="22" t="s">
        <v>11</v>
      </c>
      <c r="MS23" s="22" t="s">
        <v>12</v>
      </c>
      <c r="MT23" s="22" t="s">
        <v>20</v>
      </c>
      <c r="MU23" s="22" t="s">
        <v>14</v>
      </c>
      <c r="MV23" s="22" t="s">
        <v>22</v>
      </c>
      <c r="MW23" s="22" t="s">
        <v>4</v>
      </c>
      <c r="MX23" s="22" t="s">
        <v>5</v>
      </c>
      <c r="MY23" s="22" t="s">
        <v>15</v>
      </c>
      <c r="MZ23" s="22" t="s">
        <v>7</v>
      </c>
      <c r="NA23" s="22" t="s">
        <v>8</v>
      </c>
      <c r="NB23" s="22" t="s">
        <v>18</v>
      </c>
      <c r="NC23" s="22" t="s">
        <v>24</v>
      </c>
      <c r="ND23" s="22" t="s">
        <v>11</v>
      </c>
      <c r="NE23" s="22" t="s">
        <v>12</v>
      </c>
      <c r="NF23" s="22" t="s">
        <v>20</v>
      </c>
      <c r="NG23" s="22" t="s">
        <v>14</v>
      </c>
      <c r="NH23" s="22" t="s">
        <v>22</v>
      </c>
      <c r="NI23" s="22" t="s">
        <v>19</v>
      </c>
      <c r="NJ23" s="22" t="s">
        <v>27</v>
      </c>
      <c r="NK23" s="22" t="s">
        <v>6</v>
      </c>
      <c r="NL23" s="22" t="s">
        <v>7</v>
      </c>
      <c r="NM23" s="22" t="s">
        <v>8</v>
      </c>
      <c r="NN23" s="22" t="s">
        <v>9</v>
      </c>
      <c r="NO23" s="22" t="s">
        <v>10</v>
      </c>
      <c r="NP23" s="22" t="s">
        <v>11</v>
      </c>
      <c r="NQ23" s="22" t="s">
        <v>12</v>
      </c>
      <c r="NR23" s="22" t="s">
        <v>20</v>
      </c>
      <c r="NS23" s="22" t="s">
        <v>14</v>
      </c>
      <c r="NT23" s="22" t="s">
        <v>16</v>
      </c>
      <c r="NU23" s="22" t="s">
        <v>19</v>
      </c>
      <c r="NV23" s="22" t="s">
        <v>5</v>
      </c>
      <c r="NW23" s="22" t="s">
        <v>6</v>
      </c>
      <c r="NX23" s="22" t="s">
        <v>7</v>
      </c>
      <c r="NY23" s="22" t="s">
        <v>8</v>
      </c>
      <c r="NZ23" s="22" t="s">
        <v>18</v>
      </c>
      <c r="OA23" s="22" t="s">
        <v>24</v>
      </c>
      <c r="OB23" s="22" t="s">
        <v>11</v>
      </c>
      <c r="OC23" s="22" t="s">
        <v>12</v>
      </c>
      <c r="OD23" s="22" t="s">
        <v>13</v>
      </c>
      <c r="OE23" s="22" t="s">
        <v>14</v>
      </c>
      <c r="OF23" s="22" t="s">
        <v>16</v>
      </c>
      <c r="OG23" s="22" t="s">
        <v>4</v>
      </c>
      <c r="OH23" s="22" t="s">
        <v>5</v>
      </c>
      <c r="OI23" s="22" t="s">
        <v>15</v>
      </c>
      <c r="OJ23" s="22" t="s">
        <v>7</v>
      </c>
      <c r="OK23" s="22" t="s">
        <v>8</v>
      </c>
      <c r="OL23" s="22" t="s">
        <v>18</v>
      </c>
    </row>
    <row r="24" spans="1:402" s="145" customFormat="1" ht="19.5" customHeight="1" x14ac:dyDescent="0.35">
      <c r="A24" s="12" t="s">
        <v>29</v>
      </c>
      <c r="B24" s="156">
        <f>'[1]Sept 07'!C5</f>
        <v>2409</v>
      </c>
      <c r="C24" s="156">
        <f>'[1]Oct 07'!C5</f>
        <v>2452</v>
      </c>
      <c r="D24" s="156">
        <f>'[1]Nov 07'!C5</f>
        <v>2471</v>
      </c>
      <c r="E24" s="156">
        <f>'[1]Dec 07'!C5</f>
        <v>2331</v>
      </c>
      <c r="F24" s="156">
        <f>'[1]Jan 08'!C5</f>
        <v>2555</v>
      </c>
      <c r="G24" s="143">
        <f>'[1]Feb 08'!C5</f>
        <v>2602</v>
      </c>
      <c r="H24" s="143">
        <f>'[1]Mar 08'!C5</f>
        <v>2646</v>
      </c>
      <c r="I24" s="143">
        <v>2598</v>
      </c>
      <c r="J24" s="143">
        <f>'[1]May 08'!C5</f>
        <v>2458</v>
      </c>
      <c r="K24" s="143">
        <f>'[1]Jun 08'!C5</f>
        <v>2452</v>
      </c>
      <c r="L24" s="143">
        <f>'[1]Jul 08'!C5</f>
        <v>2448</v>
      </c>
      <c r="M24" s="143">
        <f>'[1]Aug 08'!C5</f>
        <v>2446</v>
      </c>
      <c r="N24" s="143">
        <v>2410</v>
      </c>
      <c r="O24" s="143">
        <v>2495</v>
      </c>
      <c r="P24" s="143">
        <v>2562</v>
      </c>
      <c r="Q24" s="143">
        <v>2347</v>
      </c>
      <c r="R24" s="143">
        <v>2472</v>
      </c>
      <c r="S24" s="143">
        <v>2514</v>
      </c>
      <c r="T24" s="143">
        <v>2483</v>
      </c>
      <c r="U24" s="143">
        <v>2294</v>
      </c>
      <c r="V24" s="143">
        <v>1989</v>
      </c>
      <c r="W24" s="143">
        <v>1833</v>
      </c>
      <c r="X24" s="143">
        <v>1784</v>
      </c>
      <c r="Y24" s="143">
        <v>1774</v>
      </c>
      <c r="Z24" s="143">
        <v>1851</v>
      </c>
      <c r="AA24" s="143">
        <v>1896</v>
      </c>
      <c r="AB24" s="143">
        <v>1908</v>
      </c>
      <c r="AC24" s="143">
        <v>1803</v>
      </c>
      <c r="AD24" s="143">
        <v>1949</v>
      </c>
      <c r="AE24" s="143">
        <v>1946</v>
      </c>
      <c r="AF24" s="143">
        <v>1937</v>
      </c>
      <c r="AG24" s="143">
        <v>1907</v>
      </c>
      <c r="AH24" s="143">
        <v>1833</v>
      </c>
      <c r="AI24" s="143">
        <v>1814</v>
      </c>
      <c r="AJ24" s="143">
        <v>1854</v>
      </c>
      <c r="AK24" s="143">
        <v>1917</v>
      </c>
      <c r="AL24" s="143">
        <v>2023</v>
      </c>
      <c r="AM24" s="143">
        <v>2003</v>
      </c>
      <c r="AN24" s="143">
        <v>1955</v>
      </c>
      <c r="AO24" s="143">
        <v>1878</v>
      </c>
      <c r="AP24" s="143">
        <v>1880</v>
      </c>
      <c r="AQ24" s="143">
        <v>1800</v>
      </c>
      <c r="AR24" s="143">
        <v>1659</v>
      </c>
      <c r="AS24" s="143">
        <v>1505</v>
      </c>
      <c r="AT24" s="143">
        <v>1322</v>
      </c>
      <c r="AU24" s="143">
        <v>1224</v>
      </c>
      <c r="AV24" s="143">
        <v>1143</v>
      </c>
      <c r="AW24" s="143">
        <v>1105</v>
      </c>
      <c r="AX24" s="143">
        <v>1127</v>
      </c>
      <c r="AY24" s="143">
        <v>1213</v>
      </c>
      <c r="AZ24" s="143">
        <v>1205</v>
      </c>
      <c r="BA24" s="143">
        <v>1129</v>
      </c>
      <c r="BB24" s="143">
        <v>1157</v>
      </c>
      <c r="BC24" s="143">
        <v>1119</v>
      </c>
      <c r="BD24" s="143">
        <v>1007</v>
      </c>
      <c r="BE24" s="143">
        <v>865</v>
      </c>
      <c r="BF24" s="143">
        <v>850</v>
      </c>
      <c r="BG24" s="143">
        <v>830</v>
      </c>
      <c r="BH24" s="143">
        <v>816</v>
      </c>
      <c r="BI24" s="143">
        <v>831</v>
      </c>
      <c r="BJ24" s="143">
        <v>877</v>
      </c>
      <c r="BK24" s="143">
        <v>1005</v>
      </c>
      <c r="BL24" s="143">
        <v>1052</v>
      </c>
      <c r="BM24" s="143">
        <v>946</v>
      </c>
      <c r="BN24" s="143">
        <v>993</v>
      </c>
      <c r="BO24" s="143">
        <v>980</v>
      </c>
      <c r="BP24" s="143">
        <v>1005</v>
      </c>
      <c r="BQ24" s="143">
        <v>948</v>
      </c>
      <c r="BR24" s="143">
        <v>929</v>
      </c>
      <c r="BS24" s="143">
        <v>898</v>
      </c>
      <c r="BT24" s="143">
        <v>917</v>
      </c>
      <c r="BU24" s="143">
        <v>987</v>
      </c>
      <c r="BV24" s="143">
        <v>1098</v>
      </c>
      <c r="BW24" s="143">
        <v>1303</v>
      </c>
      <c r="BX24" s="143">
        <v>1278</v>
      </c>
      <c r="BY24" s="143">
        <v>1224</v>
      </c>
      <c r="BZ24" s="143">
        <v>1465</v>
      </c>
      <c r="CA24" s="143">
        <v>1578</v>
      </c>
      <c r="CB24" s="143">
        <v>1644</v>
      </c>
      <c r="CC24" s="143">
        <v>1646</v>
      </c>
      <c r="CD24" s="143">
        <v>1612</v>
      </c>
      <c r="CE24" s="143">
        <v>1463</v>
      </c>
      <c r="CF24" s="143">
        <v>1366</v>
      </c>
      <c r="CG24" s="143">
        <v>1296</v>
      </c>
      <c r="CH24" s="143">
        <v>1282</v>
      </c>
      <c r="CI24" s="143">
        <v>1398</v>
      </c>
      <c r="CJ24" s="143">
        <v>1406</v>
      </c>
      <c r="CK24" s="143">
        <v>1281</v>
      </c>
      <c r="CL24" s="143">
        <v>1437</v>
      </c>
      <c r="CM24" s="143">
        <v>1449</v>
      </c>
      <c r="CN24" s="143">
        <v>1448</v>
      </c>
      <c r="CO24" s="143">
        <v>1483</v>
      </c>
      <c r="CP24" s="143">
        <v>1391</v>
      </c>
      <c r="CQ24" s="143">
        <v>1301</v>
      </c>
      <c r="CR24" s="143">
        <v>1242</v>
      </c>
      <c r="CS24" s="143">
        <v>1158</v>
      </c>
      <c r="CT24" s="143">
        <v>1191</v>
      </c>
      <c r="CU24" s="143">
        <v>1321</v>
      </c>
      <c r="CV24" s="143">
        <v>1326</v>
      </c>
      <c r="CW24" s="143">
        <v>1230</v>
      </c>
      <c r="CX24" s="143">
        <v>1449</v>
      </c>
      <c r="CY24" s="143">
        <v>1618</v>
      </c>
      <c r="CZ24" s="143">
        <v>1611</v>
      </c>
      <c r="DA24" s="143">
        <v>1588</v>
      </c>
      <c r="DB24" s="143">
        <v>1506</v>
      </c>
      <c r="DC24" s="143">
        <v>1372</v>
      </c>
      <c r="DD24" s="143">
        <v>1260</v>
      </c>
      <c r="DE24" s="143">
        <v>1154</v>
      </c>
      <c r="DF24" s="143">
        <v>1211</v>
      </c>
      <c r="DG24" s="143">
        <v>1333</v>
      </c>
      <c r="DH24" s="143">
        <v>1333</v>
      </c>
      <c r="DI24" s="143">
        <v>1224</v>
      </c>
      <c r="DJ24" s="143">
        <v>1278</v>
      </c>
      <c r="DK24" s="143">
        <v>1333</v>
      </c>
      <c r="DL24" s="143">
        <v>1420</v>
      </c>
      <c r="DM24" s="143">
        <v>1336</v>
      </c>
      <c r="DN24" s="143">
        <v>1267</v>
      </c>
      <c r="DO24" s="143">
        <v>1177</v>
      </c>
      <c r="DP24" s="143">
        <v>1104</v>
      </c>
      <c r="DQ24" s="143">
        <v>1089</v>
      </c>
      <c r="DR24" s="143">
        <v>1132</v>
      </c>
      <c r="DS24" s="143">
        <v>1173</v>
      </c>
      <c r="DT24" s="143">
        <v>1125</v>
      </c>
      <c r="DU24" s="143">
        <v>1016</v>
      </c>
      <c r="DV24" s="143">
        <v>1089</v>
      </c>
      <c r="DW24" s="143">
        <v>1071</v>
      </c>
      <c r="DX24" s="143">
        <v>1122</v>
      </c>
      <c r="DY24" s="143">
        <v>1104</v>
      </c>
      <c r="DZ24" s="143">
        <v>990</v>
      </c>
      <c r="EA24" s="143">
        <v>939</v>
      </c>
      <c r="EB24" s="143">
        <v>850</v>
      </c>
      <c r="EC24" s="143">
        <v>897</v>
      </c>
      <c r="ED24" s="143">
        <v>930</v>
      </c>
      <c r="EE24" s="143">
        <v>994</v>
      </c>
      <c r="EF24" s="143">
        <v>976</v>
      </c>
      <c r="EG24" s="143">
        <v>913</v>
      </c>
      <c r="EH24" s="143">
        <v>1025</v>
      </c>
      <c r="EI24" s="143">
        <v>1089</v>
      </c>
      <c r="EJ24" s="143">
        <v>1108</v>
      </c>
      <c r="EK24" s="143">
        <v>1054</v>
      </c>
      <c r="EL24" s="143">
        <v>975</v>
      </c>
      <c r="EM24" s="143">
        <v>860</v>
      </c>
      <c r="EN24" s="143">
        <v>706</v>
      </c>
      <c r="EO24" s="143">
        <v>639</v>
      </c>
      <c r="EP24" s="143">
        <v>618</v>
      </c>
      <c r="EQ24" s="143">
        <v>652</v>
      </c>
      <c r="ER24" s="143">
        <v>623</v>
      </c>
      <c r="ES24" s="143">
        <v>548</v>
      </c>
      <c r="ET24" s="143">
        <v>514</v>
      </c>
      <c r="EU24" s="143">
        <v>477</v>
      </c>
      <c r="EV24" s="143">
        <v>626</v>
      </c>
      <c r="EW24" s="143">
        <v>662</v>
      </c>
      <c r="EX24" s="143">
        <v>555</v>
      </c>
      <c r="EY24" s="143">
        <v>435</v>
      </c>
      <c r="EZ24" s="143">
        <v>394</v>
      </c>
      <c r="FA24" s="143">
        <v>352</v>
      </c>
      <c r="FB24" s="143">
        <v>393</v>
      </c>
      <c r="FC24" s="143">
        <v>369</v>
      </c>
      <c r="FD24" s="143">
        <v>285</v>
      </c>
      <c r="FE24" s="143">
        <v>191</v>
      </c>
      <c r="FF24" s="143">
        <v>141</v>
      </c>
      <c r="FG24" s="143">
        <v>113</v>
      </c>
      <c r="FH24" s="143">
        <v>119</v>
      </c>
      <c r="FI24" s="143">
        <v>176</v>
      </c>
      <c r="FJ24" s="143">
        <v>147</v>
      </c>
      <c r="FK24" s="143">
        <v>190</v>
      </c>
      <c r="FL24" s="143">
        <v>217</v>
      </c>
      <c r="FM24" s="143">
        <v>222</v>
      </c>
      <c r="FN24" s="143">
        <v>255</v>
      </c>
      <c r="FO24" s="143">
        <v>202</v>
      </c>
      <c r="FP24" s="143">
        <v>171</v>
      </c>
      <c r="FQ24" s="143">
        <v>124</v>
      </c>
      <c r="FR24" s="143">
        <v>89</v>
      </c>
      <c r="FS24" s="143">
        <v>90</v>
      </c>
      <c r="FT24" s="143">
        <v>87</v>
      </c>
      <c r="FU24" s="143">
        <v>110</v>
      </c>
      <c r="FV24" s="143">
        <v>227</v>
      </c>
      <c r="FW24" s="143">
        <v>353</v>
      </c>
      <c r="FX24" s="143">
        <v>450</v>
      </c>
      <c r="FY24" s="143">
        <v>426</v>
      </c>
      <c r="FZ24" s="143">
        <v>448</v>
      </c>
      <c r="GA24" s="143">
        <v>469</v>
      </c>
      <c r="GB24" s="143">
        <v>419</v>
      </c>
      <c r="GC24" s="143">
        <v>342</v>
      </c>
      <c r="GD24" s="143">
        <v>367</v>
      </c>
      <c r="GE24" s="143">
        <v>349</v>
      </c>
      <c r="GF24" s="143">
        <v>348</v>
      </c>
      <c r="GG24" s="143">
        <v>311</v>
      </c>
      <c r="GH24" s="143">
        <v>287</v>
      </c>
      <c r="GI24" s="143">
        <v>276</v>
      </c>
      <c r="GJ24" s="143">
        <v>308</v>
      </c>
      <c r="GK24" s="143">
        <v>294</v>
      </c>
      <c r="GL24" s="143">
        <v>313</v>
      </c>
      <c r="GM24" s="143">
        <v>355</v>
      </c>
      <c r="GN24" s="143">
        <v>325</v>
      </c>
      <c r="GO24" s="143">
        <v>258</v>
      </c>
      <c r="GP24" s="143">
        <v>309</v>
      </c>
      <c r="GQ24" s="143">
        <v>314</v>
      </c>
      <c r="GR24" s="143">
        <v>307</v>
      </c>
      <c r="GS24" s="143">
        <f>SUM(GG24:GR24)/12</f>
        <v>304.75</v>
      </c>
      <c r="GT24" s="152"/>
      <c r="GU24" s="12" t="s">
        <v>29</v>
      </c>
      <c r="GV24" s="145" t="s">
        <v>30</v>
      </c>
      <c r="GW24" s="145">
        <f t="shared" ref="GW24:JH24" si="14">(C24-B24)/B24</f>
        <v>1.7849730178497301E-2</v>
      </c>
      <c r="GX24" s="145">
        <f t="shared" si="14"/>
        <v>7.7487765089722677E-3</v>
      </c>
      <c r="GY24" s="145">
        <f t="shared" si="14"/>
        <v>-5.6657223796033995E-2</v>
      </c>
      <c r="GZ24" s="145">
        <f t="shared" si="14"/>
        <v>9.6096096096096095E-2</v>
      </c>
      <c r="HA24" s="145">
        <f t="shared" si="14"/>
        <v>1.8395303326810174E-2</v>
      </c>
      <c r="HB24" s="145">
        <f t="shared" si="14"/>
        <v>1.6910069177555727E-2</v>
      </c>
      <c r="HC24" s="145">
        <f t="shared" si="14"/>
        <v>-1.8140589569160998E-2</v>
      </c>
      <c r="HD24" s="145">
        <f t="shared" si="14"/>
        <v>-5.3887605850654351E-2</v>
      </c>
      <c r="HE24" s="145">
        <f t="shared" si="14"/>
        <v>-2.4410089503661514E-3</v>
      </c>
      <c r="HF24" s="145">
        <f t="shared" si="14"/>
        <v>-1.6313213703099511E-3</v>
      </c>
      <c r="HG24" s="145">
        <f t="shared" si="14"/>
        <v>-8.1699346405228761E-4</v>
      </c>
      <c r="HH24" s="145">
        <f t="shared" si="14"/>
        <v>-1.4717906786590351E-2</v>
      </c>
      <c r="HI24" s="145">
        <f t="shared" si="14"/>
        <v>3.5269709543568464E-2</v>
      </c>
      <c r="HJ24" s="145">
        <f t="shared" si="14"/>
        <v>2.6853707414829658E-2</v>
      </c>
      <c r="HK24" s="145">
        <f t="shared" si="14"/>
        <v>-8.3918813427010144E-2</v>
      </c>
      <c r="HL24" s="145">
        <f t="shared" si="14"/>
        <v>5.3259480187473368E-2</v>
      </c>
      <c r="HM24" s="145">
        <f t="shared" si="14"/>
        <v>1.6990291262135922E-2</v>
      </c>
      <c r="HN24" s="145">
        <f t="shared" si="14"/>
        <v>-1.2330946698488464E-2</v>
      </c>
      <c r="HO24" s="145">
        <f t="shared" si="14"/>
        <v>-7.6117599677809109E-2</v>
      </c>
      <c r="HP24" s="145">
        <f t="shared" si="14"/>
        <v>-0.13295553618134262</v>
      </c>
      <c r="HQ24" s="145">
        <f t="shared" si="14"/>
        <v>-7.8431372549019607E-2</v>
      </c>
      <c r="HR24" s="145">
        <f t="shared" si="14"/>
        <v>-2.6732133115111838E-2</v>
      </c>
      <c r="HS24" s="145">
        <f t="shared" si="14"/>
        <v>-5.6053811659192822E-3</v>
      </c>
      <c r="HT24" s="145">
        <f t="shared" si="14"/>
        <v>4.3404735062006768E-2</v>
      </c>
      <c r="HU24" s="145">
        <f t="shared" si="14"/>
        <v>2.4311183144246355E-2</v>
      </c>
      <c r="HV24" s="145">
        <f t="shared" si="14"/>
        <v>6.3291139240506328E-3</v>
      </c>
      <c r="HW24" s="145">
        <f t="shared" si="14"/>
        <v>-5.5031446540880505E-2</v>
      </c>
      <c r="HX24" s="145">
        <f t="shared" si="14"/>
        <v>8.0976150859678311E-2</v>
      </c>
      <c r="HY24" s="145">
        <f t="shared" si="14"/>
        <v>-1.5392508978963571E-3</v>
      </c>
      <c r="HZ24" s="145">
        <f t="shared" si="14"/>
        <v>-4.6248715313463515E-3</v>
      </c>
      <c r="IA24" s="145">
        <f t="shared" si="14"/>
        <v>-1.5487867836861126E-2</v>
      </c>
      <c r="IB24" s="145">
        <f t="shared" si="14"/>
        <v>-3.8804404824331409E-2</v>
      </c>
      <c r="IC24" s="145">
        <f t="shared" si="14"/>
        <v>-1.0365521003818877E-2</v>
      </c>
      <c r="ID24" s="145">
        <f t="shared" si="14"/>
        <v>2.2050716648291068E-2</v>
      </c>
      <c r="IE24" s="145">
        <f t="shared" si="14"/>
        <v>3.3980582524271843E-2</v>
      </c>
      <c r="IF24" s="145">
        <f t="shared" si="14"/>
        <v>5.5294731351069382E-2</v>
      </c>
      <c r="IG24" s="145">
        <f t="shared" si="14"/>
        <v>-9.8863074641621362E-3</v>
      </c>
      <c r="IH24" s="145">
        <f t="shared" si="14"/>
        <v>-2.3964053919121316E-2</v>
      </c>
      <c r="II24" s="145">
        <f t="shared" si="14"/>
        <v>-3.938618925831202E-2</v>
      </c>
      <c r="IJ24" s="145">
        <f t="shared" si="14"/>
        <v>1.0649627263045794E-3</v>
      </c>
      <c r="IK24" s="145">
        <f t="shared" si="14"/>
        <v>-4.2553191489361701E-2</v>
      </c>
      <c r="IL24" s="145">
        <f t="shared" si="14"/>
        <v>-7.8333333333333338E-2</v>
      </c>
      <c r="IM24" s="145">
        <f t="shared" si="14"/>
        <v>-9.2827004219409287E-2</v>
      </c>
      <c r="IN24" s="145">
        <f t="shared" si="14"/>
        <v>-0.12159468438538205</v>
      </c>
      <c r="IO24" s="145">
        <f t="shared" si="14"/>
        <v>-7.4130105900151289E-2</v>
      </c>
      <c r="IP24" s="145">
        <f t="shared" si="14"/>
        <v>-6.6176470588235295E-2</v>
      </c>
      <c r="IQ24" s="145">
        <f t="shared" si="14"/>
        <v>-3.3245844269466314E-2</v>
      </c>
      <c r="IR24" s="145">
        <f t="shared" si="14"/>
        <v>1.9909502262443438E-2</v>
      </c>
      <c r="IS24" s="145">
        <f t="shared" si="14"/>
        <v>7.6308784383318548E-2</v>
      </c>
      <c r="IT24" s="145">
        <f t="shared" si="14"/>
        <v>-6.5952184666117067E-3</v>
      </c>
      <c r="IU24" s="145">
        <f t="shared" si="14"/>
        <v>-6.3070539419087135E-2</v>
      </c>
      <c r="IV24" s="145">
        <f t="shared" si="14"/>
        <v>2.4800708591674048E-2</v>
      </c>
      <c r="IW24" s="145">
        <f t="shared" si="14"/>
        <v>-3.2843560933448576E-2</v>
      </c>
      <c r="IX24" s="145">
        <f t="shared" si="14"/>
        <v>-0.10008936550491511</v>
      </c>
      <c r="IY24" s="145">
        <f t="shared" si="14"/>
        <v>-0.14101290963257199</v>
      </c>
      <c r="IZ24" s="145">
        <f t="shared" si="14"/>
        <v>-1.7341040462427744E-2</v>
      </c>
      <c r="JA24" s="145">
        <f t="shared" si="14"/>
        <v>-2.3529411764705882E-2</v>
      </c>
      <c r="JB24" s="145">
        <f t="shared" si="14"/>
        <v>-1.6867469879518072E-2</v>
      </c>
      <c r="JC24" s="145">
        <f t="shared" si="14"/>
        <v>1.8382352941176471E-2</v>
      </c>
      <c r="JD24" s="145">
        <f t="shared" si="14"/>
        <v>5.5354993983152828E-2</v>
      </c>
      <c r="JE24" s="145">
        <f t="shared" si="14"/>
        <v>0.1459521094640821</v>
      </c>
      <c r="JF24" s="145">
        <f t="shared" si="14"/>
        <v>4.6766169154228855E-2</v>
      </c>
      <c r="JG24" s="145">
        <f t="shared" si="14"/>
        <v>-0.10076045627376426</v>
      </c>
      <c r="JH24" s="145">
        <f t="shared" si="14"/>
        <v>4.9682875264270614E-2</v>
      </c>
      <c r="JI24" s="145">
        <f t="shared" ref="JI24:LT28" si="15">(BO24-BN24)/BN24</f>
        <v>-1.3091641490433032E-2</v>
      </c>
      <c r="JJ24" s="145">
        <f t="shared" si="15"/>
        <v>2.5510204081632654E-2</v>
      </c>
      <c r="JK24" s="145">
        <f t="shared" si="15"/>
        <v>-5.6716417910447764E-2</v>
      </c>
      <c r="JL24" s="145">
        <f t="shared" si="15"/>
        <v>-2.0042194092827006E-2</v>
      </c>
      <c r="JM24" s="145">
        <f t="shared" si="15"/>
        <v>-3.3369214208826693E-2</v>
      </c>
      <c r="JN24" s="145">
        <f t="shared" si="15"/>
        <v>2.1158129175946547E-2</v>
      </c>
      <c r="JO24" s="145">
        <f t="shared" si="15"/>
        <v>7.6335877862595422E-2</v>
      </c>
      <c r="JP24" s="145">
        <f t="shared" si="15"/>
        <v>0.11246200607902736</v>
      </c>
      <c r="JQ24" s="145">
        <f t="shared" si="15"/>
        <v>0.18670309653916212</v>
      </c>
      <c r="JR24" s="145">
        <f t="shared" si="15"/>
        <v>-1.9186492709132769E-2</v>
      </c>
      <c r="JS24" s="145">
        <f t="shared" si="15"/>
        <v>-4.2253521126760563E-2</v>
      </c>
      <c r="JT24" s="145">
        <f t="shared" si="15"/>
        <v>0.1968954248366013</v>
      </c>
      <c r="JU24" s="145">
        <f t="shared" si="15"/>
        <v>7.7133105802047783E-2</v>
      </c>
      <c r="JV24" s="145">
        <f t="shared" si="15"/>
        <v>4.1825095057034217E-2</v>
      </c>
      <c r="JW24" s="145">
        <f t="shared" si="15"/>
        <v>1.2165450121654502E-3</v>
      </c>
      <c r="JX24" s="145">
        <f t="shared" si="15"/>
        <v>-2.0656136087484813E-2</v>
      </c>
      <c r="JY24" s="145">
        <f t="shared" si="15"/>
        <v>-9.2431761786600494E-2</v>
      </c>
      <c r="JZ24" s="145">
        <f t="shared" si="15"/>
        <v>-6.6302118933697876E-2</v>
      </c>
      <c r="KA24" s="145">
        <f t="shared" si="15"/>
        <v>-5.1244509516837483E-2</v>
      </c>
      <c r="KB24" s="145">
        <f t="shared" si="15"/>
        <v>-1.0802469135802469E-2</v>
      </c>
      <c r="KC24" s="145">
        <f t="shared" si="15"/>
        <v>9.0483619344773794E-2</v>
      </c>
      <c r="KD24" s="145">
        <f t="shared" si="15"/>
        <v>5.7224606580829757E-3</v>
      </c>
      <c r="KE24" s="145">
        <f t="shared" si="15"/>
        <v>-8.8904694167852058E-2</v>
      </c>
      <c r="KF24" s="145">
        <f t="shared" si="15"/>
        <v>0.12177985948477751</v>
      </c>
      <c r="KG24" s="145">
        <f t="shared" si="15"/>
        <v>8.350730688935281E-3</v>
      </c>
      <c r="KH24" s="145">
        <f t="shared" si="15"/>
        <v>-6.9013112491373362E-4</v>
      </c>
      <c r="KI24" s="145">
        <f t="shared" si="15"/>
        <v>2.4171270718232045E-2</v>
      </c>
      <c r="KJ24" s="145">
        <f t="shared" si="15"/>
        <v>-6.2036412677006068E-2</v>
      </c>
      <c r="KK24" s="145">
        <f t="shared" si="15"/>
        <v>-6.470165348670022E-2</v>
      </c>
      <c r="KL24" s="145">
        <f t="shared" si="15"/>
        <v>-4.5349730976172176E-2</v>
      </c>
      <c r="KM24" s="145">
        <f t="shared" si="15"/>
        <v>-6.7632850241545889E-2</v>
      </c>
      <c r="KN24" s="145">
        <f t="shared" si="15"/>
        <v>2.8497409326424871E-2</v>
      </c>
      <c r="KO24" s="145">
        <f t="shared" si="15"/>
        <v>0.109151973131822</v>
      </c>
      <c r="KP24" s="145">
        <f t="shared" si="15"/>
        <v>3.7850113550340651E-3</v>
      </c>
      <c r="KQ24" s="145">
        <f t="shared" si="15"/>
        <v>-7.2398190045248875E-2</v>
      </c>
      <c r="KR24" s="145">
        <f t="shared" si="15"/>
        <v>0.17804878048780487</v>
      </c>
      <c r="KS24" s="145">
        <f t="shared" si="15"/>
        <v>0.11663216011042098</v>
      </c>
      <c r="KT24" s="145">
        <f t="shared" si="15"/>
        <v>-4.326328800988875E-3</v>
      </c>
      <c r="KU24" s="145">
        <f t="shared" si="15"/>
        <v>-1.4276846679081317E-2</v>
      </c>
      <c r="KV24" s="145">
        <f t="shared" si="15"/>
        <v>-5.163727959697733E-2</v>
      </c>
      <c r="KW24" s="145">
        <f t="shared" si="15"/>
        <v>-8.8977423638778225E-2</v>
      </c>
      <c r="KX24" s="145">
        <f t="shared" si="15"/>
        <v>-8.1632653061224483E-2</v>
      </c>
      <c r="KY24" s="145">
        <f t="shared" si="15"/>
        <v>-8.4126984126984133E-2</v>
      </c>
      <c r="KZ24" s="145">
        <f t="shared" si="15"/>
        <v>4.9393414211438474E-2</v>
      </c>
      <c r="LA24" s="145">
        <f t="shared" si="15"/>
        <v>0.10074318744838975</v>
      </c>
      <c r="LB24" s="145">
        <f t="shared" si="15"/>
        <v>0</v>
      </c>
      <c r="LC24" s="145">
        <f t="shared" si="15"/>
        <v>-8.1770442610652666E-2</v>
      </c>
      <c r="LD24" s="145">
        <f t="shared" si="15"/>
        <v>4.4117647058823532E-2</v>
      </c>
      <c r="LE24" s="145">
        <f t="shared" si="15"/>
        <v>4.3035993740219089E-2</v>
      </c>
      <c r="LF24" s="145">
        <f t="shared" si="15"/>
        <v>6.5266316579144792E-2</v>
      </c>
      <c r="LG24" s="145">
        <f t="shared" si="15"/>
        <v>-5.9154929577464786E-2</v>
      </c>
      <c r="LH24" s="145">
        <f t="shared" si="15"/>
        <v>-5.1646706586826345E-2</v>
      </c>
      <c r="LI24" s="145">
        <f t="shared" si="15"/>
        <v>-7.1033938437253349E-2</v>
      </c>
      <c r="LJ24" s="145">
        <f t="shared" si="15"/>
        <v>-6.2022090059473234E-2</v>
      </c>
      <c r="LK24" s="145">
        <f t="shared" si="15"/>
        <v>-1.358695652173913E-2</v>
      </c>
      <c r="LL24" s="145">
        <f t="shared" si="15"/>
        <v>3.948576675849403E-2</v>
      </c>
      <c r="LM24" s="145">
        <f t="shared" si="15"/>
        <v>3.6219081272084806E-2</v>
      </c>
      <c r="LN24" s="145">
        <f t="shared" si="15"/>
        <v>-4.0920716112531973E-2</v>
      </c>
      <c r="LO24" s="145">
        <f t="shared" si="15"/>
        <v>-9.6888888888888886E-2</v>
      </c>
      <c r="LP24" s="145">
        <f t="shared" si="15"/>
        <v>7.1850393700787399E-2</v>
      </c>
      <c r="LQ24" s="145">
        <f t="shared" si="15"/>
        <v>-1.6528925619834711E-2</v>
      </c>
      <c r="LR24" s="145">
        <f t="shared" si="15"/>
        <v>4.7619047619047616E-2</v>
      </c>
      <c r="LS24" s="145">
        <f t="shared" si="15"/>
        <v>-1.6042780748663103E-2</v>
      </c>
      <c r="LT24" s="145">
        <f t="shared" si="15"/>
        <v>-0.10326086956521739</v>
      </c>
      <c r="LU24" s="145">
        <f t="shared" ref="LU24:MR28" si="16">(EA24-DZ24)/DZ24</f>
        <v>-5.1515151515151514E-2</v>
      </c>
      <c r="LV24" s="145">
        <f t="shared" si="16"/>
        <v>-9.4781682641107562E-2</v>
      </c>
      <c r="LW24" s="145">
        <f t="shared" si="16"/>
        <v>5.5294117647058827E-2</v>
      </c>
      <c r="LX24" s="145">
        <f t="shared" si="16"/>
        <v>3.678929765886288E-2</v>
      </c>
      <c r="LY24" s="145">
        <f t="shared" si="16"/>
        <v>6.8817204301075269E-2</v>
      </c>
      <c r="LZ24" s="145">
        <f t="shared" si="16"/>
        <v>-1.8108651911468814E-2</v>
      </c>
      <c r="MA24" s="145">
        <f t="shared" si="16"/>
        <v>-6.4549180327868855E-2</v>
      </c>
      <c r="MB24" s="145">
        <f t="shared" si="16"/>
        <v>0.12267250821467689</v>
      </c>
      <c r="MC24" s="145">
        <f t="shared" si="16"/>
        <v>6.2439024390243902E-2</v>
      </c>
      <c r="MD24" s="145">
        <f t="shared" si="16"/>
        <v>1.7447199265381085E-2</v>
      </c>
      <c r="ME24" s="145">
        <f t="shared" si="16"/>
        <v>-4.8736462093862815E-2</v>
      </c>
      <c r="MF24" s="145">
        <f t="shared" si="16"/>
        <v>-7.4952561669829221E-2</v>
      </c>
      <c r="MG24" s="145">
        <f t="shared" si="16"/>
        <v>-0.11794871794871795</v>
      </c>
      <c r="MH24" s="145">
        <f t="shared" si="16"/>
        <v>-0.17906976744186046</v>
      </c>
      <c r="MI24" s="145">
        <f t="shared" si="16"/>
        <v>-9.4900849858356937E-2</v>
      </c>
      <c r="MJ24" s="145">
        <f t="shared" si="16"/>
        <v>-3.2863849765258218E-2</v>
      </c>
      <c r="MK24" s="145">
        <f t="shared" si="16"/>
        <v>5.5016181229773461E-2</v>
      </c>
      <c r="ML24" s="145">
        <f t="shared" si="16"/>
        <v>-4.4478527607361963E-2</v>
      </c>
      <c r="MM24" s="145">
        <f t="shared" si="16"/>
        <v>-0.12038523274478331</v>
      </c>
      <c r="MN24" s="145">
        <f t="shared" si="16"/>
        <v>-6.2043795620437957E-2</v>
      </c>
      <c r="MO24" s="145">
        <f t="shared" si="16"/>
        <v>-7.1984435797665364E-2</v>
      </c>
      <c r="MP24" s="145">
        <f t="shared" si="16"/>
        <v>0.31236897274633124</v>
      </c>
      <c r="MQ24" s="145">
        <f t="shared" si="16"/>
        <v>5.7507987220447282E-2</v>
      </c>
      <c r="MR24" s="145">
        <f t="shared" si="16"/>
        <v>-0.16163141993957703</v>
      </c>
      <c r="MS24" s="145">
        <f>(EZ24-EY24)/EY24</f>
        <v>-9.4252873563218389E-2</v>
      </c>
      <c r="MT24" s="145">
        <f t="shared" ref="MT24:NI28" si="17">(EZ24-EY24)/EZ24</f>
        <v>-0.10406091370558376</v>
      </c>
      <c r="MU24" s="145">
        <f t="shared" si="17"/>
        <v>-0.11931818181818182</v>
      </c>
      <c r="MV24" s="145">
        <f t="shared" si="17"/>
        <v>0.10432569974554708</v>
      </c>
      <c r="MW24" s="145">
        <f t="shared" si="17"/>
        <v>-6.5040650406504072E-2</v>
      </c>
      <c r="MX24" s="145">
        <f t="shared" si="17"/>
        <v>-0.29473684210526313</v>
      </c>
      <c r="MY24" s="145">
        <f t="shared" si="17"/>
        <v>-0.49214659685863876</v>
      </c>
      <c r="MZ24" s="145">
        <f t="shared" si="17"/>
        <v>-0.3546099290780142</v>
      </c>
      <c r="NA24" s="145">
        <f t="shared" si="17"/>
        <v>-0.24778761061946902</v>
      </c>
      <c r="NB24" s="145">
        <f t="shared" si="17"/>
        <v>5.0420168067226892E-2</v>
      </c>
      <c r="NC24" s="145">
        <f t="shared" si="17"/>
        <v>0.32386363636363635</v>
      </c>
      <c r="ND24" s="145">
        <f t="shared" si="17"/>
        <v>-0.19727891156462585</v>
      </c>
      <c r="NE24" s="145">
        <f t="shared" si="17"/>
        <v>0.22631578947368422</v>
      </c>
      <c r="NF24" s="145">
        <f t="shared" si="17"/>
        <v>0.12442396313364056</v>
      </c>
      <c r="NG24" s="145">
        <f t="shared" si="17"/>
        <v>2.2522522522522521E-2</v>
      </c>
      <c r="NH24" s="145">
        <f t="shared" si="17"/>
        <v>0.12941176470588237</v>
      </c>
      <c r="NI24" s="145">
        <f t="shared" si="17"/>
        <v>-0.26237623762376239</v>
      </c>
      <c r="NJ24" s="145">
        <f t="shared" ref="NJ24:NY28" si="18">(FP24-FO24)/FP24</f>
        <v>-0.18128654970760233</v>
      </c>
      <c r="NK24" s="145">
        <f t="shared" si="18"/>
        <v>-0.37903225806451613</v>
      </c>
      <c r="NL24" s="145">
        <f t="shared" si="18"/>
        <v>-0.39325842696629215</v>
      </c>
      <c r="NM24" s="145">
        <f t="shared" si="18"/>
        <v>1.1111111111111112E-2</v>
      </c>
      <c r="NN24" s="145">
        <f t="shared" si="18"/>
        <v>-3.4482758620689655E-2</v>
      </c>
      <c r="NO24" s="145">
        <f t="shared" si="18"/>
        <v>0.20909090909090908</v>
      </c>
      <c r="NP24" s="145">
        <f t="shared" si="18"/>
        <v>0.51541850220264318</v>
      </c>
      <c r="NQ24" s="145">
        <f t="shared" si="18"/>
        <v>0.35694050991501414</v>
      </c>
      <c r="NR24" s="145">
        <f t="shared" si="18"/>
        <v>0.21555555555555556</v>
      </c>
      <c r="NS24" s="145">
        <f t="shared" si="18"/>
        <v>-5.6338028169014086E-2</v>
      </c>
      <c r="NT24" s="145">
        <f t="shared" si="18"/>
        <v>4.9107142857142856E-2</v>
      </c>
      <c r="NU24" s="145">
        <f t="shared" si="18"/>
        <v>4.4776119402985072E-2</v>
      </c>
      <c r="NV24" s="145">
        <f t="shared" si="18"/>
        <v>-0.11933174224343675</v>
      </c>
      <c r="NW24" s="145">
        <f t="shared" si="18"/>
        <v>-0.22514619883040934</v>
      </c>
      <c r="NX24" s="145">
        <f t="shared" si="18"/>
        <v>6.8119891008174394E-2</v>
      </c>
      <c r="NY24" s="145">
        <f t="shared" si="18"/>
        <v>-5.1575931232091692E-2</v>
      </c>
      <c r="NZ24" s="145">
        <f t="shared" ref="NX24:OL28" si="19">(GF24-GE24)/GF24</f>
        <v>-2.8735632183908046E-3</v>
      </c>
      <c r="OA24" s="145">
        <f t="shared" si="19"/>
        <v>-0.11897106109324759</v>
      </c>
      <c r="OB24" s="145">
        <f t="shared" si="19"/>
        <v>-8.3623693379790948E-2</v>
      </c>
      <c r="OC24" s="145">
        <f t="shared" si="19"/>
        <v>-3.9855072463768113E-2</v>
      </c>
      <c r="OD24" s="145">
        <f t="shared" si="19"/>
        <v>0.1038961038961039</v>
      </c>
      <c r="OE24" s="145">
        <f t="shared" si="19"/>
        <v>-4.7619047619047616E-2</v>
      </c>
      <c r="OF24" s="145">
        <f t="shared" si="19"/>
        <v>6.070287539936102E-2</v>
      </c>
      <c r="OG24" s="145">
        <f t="shared" si="19"/>
        <v>0.11830985915492957</v>
      </c>
      <c r="OH24" s="145">
        <f t="shared" si="19"/>
        <v>-9.2307692307692313E-2</v>
      </c>
      <c r="OI24" s="145">
        <f t="shared" si="19"/>
        <v>-0.25968992248062017</v>
      </c>
      <c r="OJ24" s="145">
        <f t="shared" si="19"/>
        <v>0.1650485436893204</v>
      </c>
      <c r="OK24" s="145">
        <f t="shared" si="19"/>
        <v>1.5923566878980892E-2</v>
      </c>
      <c r="OL24" s="145">
        <f t="shared" si="19"/>
        <v>-2.2801302931596091E-2</v>
      </c>
    </row>
    <row r="25" spans="1:402" s="145" customFormat="1" ht="19.5" customHeight="1" x14ac:dyDescent="0.35">
      <c r="A25" s="12" t="s">
        <v>31</v>
      </c>
      <c r="B25" s="156"/>
      <c r="C25" s="156"/>
      <c r="D25" s="156"/>
      <c r="E25" s="156"/>
      <c r="F25" s="156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>
        <v>249</v>
      </c>
      <c r="DK25" s="143">
        <v>270</v>
      </c>
      <c r="DL25" s="143">
        <v>300</v>
      </c>
      <c r="DM25" s="143">
        <v>299</v>
      </c>
      <c r="DN25" s="143">
        <v>260</v>
      </c>
      <c r="DO25" s="143">
        <v>235</v>
      </c>
      <c r="DP25" s="143">
        <v>234</v>
      </c>
      <c r="DQ25" s="143">
        <v>206</v>
      </c>
      <c r="DR25" s="143">
        <v>232</v>
      </c>
      <c r="DS25" s="143">
        <v>236</v>
      </c>
      <c r="DT25" s="143">
        <v>225</v>
      </c>
      <c r="DU25" s="143">
        <v>173</v>
      </c>
      <c r="DV25" s="143">
        <v>235</v>
      </c>
      <c r="DW25" s="143">
        <v>272</v>
      </c>
      <c r="DX25" s="143">
        <v>270</v>
      </c>
      <c r="DY25" s="143">
        <v>309</v>
      </c>
      <c r="DZ25" s="143">
        <v>274</v>
      </c>
      <c r="EA25" s="143">
        <v>231</v>
      </c>
      <c r="EB25" s="143">
        <v>193</v>
      </c>
      <c r="EC25" s="143">
        <v>177</v>
      </c>
      <c r="ED25" s="143">
        <v>171</v>
      </c>
      <c r="EE25" s="143">
        <v>192</v>
      </c>
      <c r="EF25" s="143">
        <v>177</v>
      </c>
      <c r="EG25" s="143">
        <v>134</v>
      </c>
      <c r="EH25" s="143">
        <v>219</v>
      </c>
      <c r="EI25" s="143">
        <v>209</v>
      </c>
      <c r="EJ25" s="143">
        <v>256</v>
      </c>
      <c r="EK25" s="143">
        <v>267</v>
      </c>
      <c r="EL25" s="143">
        <v>250</v>
      </c>
      <c r="EM25" s="143">
        <v>221</v>
      </c>
      <c r="EN25" s="143">
        <v>216</v>
      </c>
      <c r="EO25" s="143">
        <v>199</v>
      </c>
      <c r="EP25" s="143">
        <v>172</v>
      </c>
      <c r="EQ25" s="143">
        <v>173</v>
      </c>
      <c r="ER25" s="143">
        <v>181</v>
      </c>
      <c r="ES25" s="143">
        <v>134</v>
      </c>
      <c r="ET25" s="143">
        <v>208</v>
      </c>
      <c r="EU25" s="143">
        <v>248</v>
      </c>
      <c r="EV25" s="143">
        <v>151</v>
      </c>
      <c r="EW25" s="143">
        <v>151</v>
      </c>
      <c r="EX25" s="143">
        <v>234</v>
      </c>
      <c r="EY25" s="143">
        <v>230</v>
      </c>
      <c r="EZ25" s="143">
        <v>224</v>
      </c>
      <c r="FA25" s="143">
        <v>226</v>
      </c>
      <c r="FB25" s="143">
        <v>266</v>
      </c>
      <c r="FC25" s="143">
        <v>240</v>
      </c>
      <c r="FD25" s="143">
        <v>226</v>
      </c>
      <c r="FE25" s="143">
        <v>194</v>
      </c>
      <c r="FF25" s="143">
        <v>218</v>
      </c>
      <c r="FG25" s="143">
        <v>183</v>
      </c>
      <c r="FH25" s="143">
        <v>180</v>
      </c>
      <c r="FI25" s="143">
        <v>176</v>
      </c>
      <c r="FJ25" s="143">
        <v>153</v>
      </c>
      <c r="FK25" s="143">
        <v>158</v>
      </c>
      <c r="FL25" s="143">
        <v>159</v>
      </c>
      <c r="FM25" s="143">
        <v>154</v>
      </c>
      <c r="FN25" s="143">
        <v>137</v>
      </c>
      <c r="FO25" s="143">
        <v>158</v>
      </c>
      <c r="FP25" s="143">
        <v>121</v>
      </c>
      <c r="FQ25" s="143">
        <v>89</v>
      </c>
      <c r="FR25" s="143">
        <v>116</v>
      </c>
      <c r="FS25" s="143">
        <v>99</v>
      </c>
      <c r="FT25" s="143">
        <v>108</v>
      </c>
      <c r="FU25" s="143">
        <v>96</v>
      </c>
      <c r="FV25" s="143">
        <v>100</v>
      </c>
      <c r="FW25" s="143">
        <v>62</v>
      </c>
      <c r="FX25" s="143">
        <v>67</v>
      </c>
      <c r="FY25" s="143">
        <v>69</v>
      </c>
      <c r="FZ25" s="143">
        <v>68</v>
      </c>
      <c r="GA25" s="143">
        <v>57</v>
      </c>
      <c r="GB25" s="143">
        <v>52</v>
      </c>
      <c r="GC25" s="143">
        <v>52</v>
      </c>
      <c r="GD25" s="143">
        <v>68</v>
      </c>
      <c r="GE25" s="143">
        <v>92</v>
      </c>
      <c r="GF25" s="143">
        <v>73</v>
      </c>
      <c r="GG25" s="143">
        <v>80</v>
      </c>
      <c r="GH25" s="143">
        <v>92</v>
      </c>
      <c r="GI25" s="143">
        <v>78</v>
      </c>
      <c r="GJ25" s="143">
        <v>69</v>
      </c>
      <c r="GK25" s="143">
        <v>59</v>
      </c>
      <c r="GL25" s="143">
        <v>43</v>
      </c>
      <c r="GM25" s="143">
        <v>53</v>
      </c>
      <c r="GN25" s="143">
        <v>56</v>
      </c>
      <c r="GO25" s="143">
        <v>44</v>
      </c>
      <c r="GP25" s="143">
        <v>66</v>
      </c>
      <c r="GQ25" s="143">
        <v>75</v>
      </c>
      <c r="GR25" s="143">
        <v>81</v>
      </c>
      <c r="GS25" s="143">
        <f t="shared" ref="GS25:GS28" si="20">SUM(GG25:GR25)/12</f>
        <v>66.333333333333329</v>
      </c>
      <c r="GT25" s="152"/>
      <c r="GU25" s="12" t="s">
        <v>31</v>
      </c>
      <c r="LE25" s="145">
        <f t="shared" si="15"/>
        <v>8.4337349397590355E-2</v>
      </c>
      <c r="LF25" s="145">
        <f t="shared" si="15"/>
        <v>0.1111111111111111</v>
      </c>
      <c r="LG25" s="145">
        <f t="shared" si="15"/>
        <v>-3.3333333333333335E-3</v>
      </c>
      <c r="LH25" s="145">
        <f t="shared" si="15"/>
        <v>-0.13043478260869565</v>
      </c>
      <c r="LI25" s="145">
        <f t="shared" si="15"/>
        <v>-9.6153846153846159E-2</v>
      </c>
      <c r="LJ25" s="145">
        <f t="shared" si="15"/>
        <v>-4.2553191489361703E-3</v>
      </c>
      <c r="LK25" s="145">
        <f t="shared" si="15"/>
        <v>-0.11965811965811966</v>
      </c>
      <c r="LL25" s="145">
        <f t="shared" si="15"/>
        <v>0.12621359223300971</v>
      </c>
      <c r="LM25" s="145">
        <f t="shared" si="15"/>
        <v>1.7241379310344827E-2</v>
      </c>
      <c r="LN25" s="145">
        <f t="shared" si="15"/>
        <v>-4.6610169491525424E-2</v>
      </c>
      <c r="LO25" s="145">
        <f t="shared" si="15"/>
        <v>-0.2311111111111111</v>
      </c>
      <c r="LP25" s="145">
        <f t="shared" si="15"/>
        <v>0.3583815028901734</v>
      </c>
      <c r="LQ25" s="145">
        <f t="shared" si="15"/>
        <v>0.1574468085106383</v>
      </c>
      <c r="LR25" s="145">
        <f t="shared" si="15"/>
        <v>-7.3529411764705881E-3</v>
      </c>
      <c r="LS25" s="145">
        <f t="shared" si="15"/>
        <v>0.14444444444444443</v>
      </c>
      <c r="LT25" s="145">
        <f t="shared" si="15"/>
        <v>-0.11326860841423948</v>
      </c>
      <c r="LU25" s="145">
        <f t="shared" si="16"/>
        <v>-0.15693430656934307</v>
      </c>
      <c r="LV25" s="145">
        <f t="shared" si="16"/>
        <v>-0.16450216450216451</v>
      </c>
      <c r="LW25" s="145">
        <f t="shared" si="16"/>
        <v>-8.2901554404145081E-2</v>
      </c>
      <c r="LX25" s="145">
        <f t="shared" si="16"/>
        <v>-3.3898305084745763E-2</v>
      </c>
      <c r="LY25" s="145">
        <f t="shared" si="16"/>
        <v>0.12280701754385964</v>
      </c>
      <c r="LZ25" s="145">
        <f t="shared" si="16"/>
        <v>-7.8125E-2</v>
      </c>
      <c r="MA25" s="145">
        <f t="shared" si="16"/>
        <v>-0.24293785310734464</v>
      </c>
      <c r="MB25" s="145">
        <f t="shared" si="16"/>
        <v>0.63432835820895528</v>
      </c>
      <c r="MC25" s="145">
        <f t="shared" si="16"/>
        <v>-4.5662100456621002E-2</v>
      </c>
      <c r="MD25" s="145">
        <f t="shared" si="16"/>
        <v>0.22488038277511962</v>
      </c>
      <c r="ME25" s="145">
        <f t="shared" si="16"/>
        <v>4.296875E-2</v>
      </c>
      <c r="MF25" s="145">
        <f t="shared" si="16"/>
        <v>-6.3670411985018729E-2</v>
      </c>
      <c r="MG25" s="145">
        <f t="shared" si="16"/>
        <v>-0.11600000000000001</v>
      </c>
      <c r="MH25" s="145">
        <f t="shared" si="16"/>
        <v>-2.2624434389140271E-2</v>
      </c>
      <c r="MI25" s="145">
        <f t="shared" si="16"/>
        <v>-7.8703703703703706E-2</v>
      </c>
      <c r="MJ25" s="145">
        <f t="shared" si="16"/>
        <v>-0.135678391959799</v>
      </c>
      <c r="MK25" s="145">
        <f t="shared" si="16"/>
        <v>5.8139534883720929E-3</v>
      </c>
      <c r="ML25" s="145">
        <f t="shared" si="16"/>
        <v>4.6242774566473986E-2</v>
      </c>
      <c r="MM25" s="145">
        <f t="shared" si="16"/>
        <v>-0.25966850828729282</v>
      </c>
      <c r="MN25" s="145">
        <f t="shared" si="16"/>
        <v>0.55223880597014929</v>
      </c>
      <c r="MO25" s="145">
        <f t="shared" si="16"/>
        <v>0.19230769230769232</v>
      </c>
      <c r="MP25" s="145">
        <f t="shared" si="16"/>
        <v>-0.3911290322580645</v>
      </c>
      <c r="MQ25" s="145">
        <f t="shared" si="16"/>
        <v>0</v>
      </c>
      <c r="MR25" s="145">
        <f t="shared" si="16"/>
        <v>0.54966887417218546</v>
      </c>
      <c r="MS25" s="145">
        <f>(EZ25-EY25)/EY25</f>
        <v>-2.6086956521739129E-2</v>
      </c>
      <c r="MT25" s="145">
        <f t="shared" si="17"/>
        <v>-2.6785714285714284E-2</v>
      </c>
      <c r="MU25" s="145">
        <f t="shared" si="17"/>
        <v>8.8495575221238937E-3</v>
      </c>
      <c r="MV25" s="145">
        <f t="shared" si="17"/>
        <v>0.15037593984962405</v>
      </c>
      <c r="MW25" s="145">
        <f t="shared" si="17"/>
        <v>-0.10833333333333334</v>
      </c>
      <c r="MX25" s="145">
        <f t="shared" si="17"/>
        <v>-6.1946902654867256E-2</v>
      </c>
      <c r="MY25" s="145">
        <f t="shared" si="17"/>
        <v>-0.16494845360824742</v>
      </c>
      <c r="MZ25" s="145">
        <f t="shared" si="17"/>
        <v>0.11009174311926606</v>
      </c>
      <c r="NA25" s="145">
        <f t="shared" si="17"/>
        <v>-0.19125683060109289</v>
      </c>
      <c r="NB25" s="145">
        <f t="shared" si="17"/>
        <v>-1.6666666666666666E-2</v>
      </c>
      <c r="NC25" s="145">
        <f t="shared" si="17"/>
        <v>-2.2727272727272728E-2</v>
      </c>
      <c r="ND25" s="145">
        <f t="shared" si="17"/>
        <v>-0.15032679738562091</v>
      </c>
      <c r="NE25" s="145">
        <f t="shared" si="17"/>
        <v>3.1645569620253167E-2</v>
      </c>
      <c r="NF25" s="145">
        <f t="shared" si="17"/>
        <v>6.2893081761006293E-3</v>
      </c>
      <c r="NG25" s="145">
        <f t="shared" si="17"/>
        <v>-3.2467532467532464E-2</v>
      </c>
      <c r="NH25" s="145">
        <f t="shared" si="17"/>
        <v>-0.12408759124087591</v>
      </c>
      <c r="NI25" s="145">
        <f t="shared" si="17"/>
        <v>0.13291139240506328</v>
      </c>
      <c r="NJ25" s="145">
        <f t="shared" si="18"/>
        <v>-0.30578512396694213</v>
      </c>
      <c r="NK25" s="145">
        <f t="shared" si="18"/>
        <v>-0.3595505617977528</v>
      </c>
      <c r="NL25" s="145">
        <f t="shared" si="18"/>
        <v>0.23275862068965517</v>
      </c>
      <c r="NM25" s="145">
        <f t="shared" si="18"/>
        <v>-0.17171717171717171</v>
      </c>
      <c r="NN25" s="145">
        <f t="shared" si="18"/>
        <v>8.3333333333333329E-2</v>
      </c>
      <c r="NO25" s="145">
        <f t="shared" si="18"/>
        <v>-0.125</v>
      </c>
      <c r="NP25" s="145">
        <f t="shared" si="18"/>
        <v>0.04</v>
      </c>
      <c r="NQ25" s="145">
        <f t="shared" si="18"/>
        <v>-0.61290322580645162</v>
      </c>
      <c r="NR25" s="145">
        <f t="shared" si="18"/>
        <v>7.4626865671641784E-2</v>
      </c>
      <c r="NS25" s="145">
        <f t="shared" si="18"/>
        <v>2.8985507246376812E-2</v>
      </c>
      <c r="NT25" s="145">
        <f t="shared" si="18"/>
        <v>-1.4705882352941176E-2</v>
      </c>
      <c r="NU25" s="145">
        <f t="shared" si="18"/>
        <v>-0.19298245614035087</v>
      </c>
      <c r="NV25" s="145">
        <f t="shared" si="18"/>
        <v>-9.6153846153846159E-2</v>
      </c>
      <c r="NW25" s="145">
        <f t="shared" si="18"/>
        <v>0</v>
      </c>
      <c r="NX25" s="145">
        <f t="shared" si="19"/>
        <v>0.23529411764705882</v>
      </c>
      <c r="NY25" s="145">
        <f t="shared" si="19"/>
        <v>0.2608695652173913</v>
      </c>
      <c r="NZ25" s="145">
        <f t="shared" si="19"/>
        <v>-0.26027397260273971</v>
      </c>
      <c r="OA25" s="145">
        <f t="shared" si="19"/>
        <v>8.7499999999999994E-2</v>
      </c>
      <c r="OB25" s="145">
        <f t="shared" si="19"/>
        <v>0.13043478260869565</v>
      </c>
      <c r="OC25" s="145">
        <f t="shared" si="19"/>
        <v>-0.17948717948717949</v>
      </c>
      <c r="OD25" s="145">
        <f t="shared" si="19"/>
        <v>-0.13043478260869565</v>
      </c>
      <c r="OE25" s="145">
        <f t="shared" si="19"/>
        <v>-0.16949152542372881</v>
      </c>
      <c r="OF25" s="145">
        <f t="shared" si="19"/>
        <v>-0.37209302325581395</v>
      </c>
      <c r="OG25" s="145">
        <f t="shared" si="19"/>
        <v>0.18867924528301888</v>
      </c>
      <c r="OH25" s="145">
        <f t="shared" si="19"/>
        <v>5.3571428571428568E-2</v>
      </c>
      <c r="OI25" s="145">
        <f t="shared" si="19"/>
        <v>-0.27272727272727271</v>
      </c>
      <c r="OJ25" s="145">
        <f t="shared" si="19"/>
        <v>0.33333333333333331</v>
      </c>
      <c r="OK25" s="145">
        <f t="shared" si="19"/>
        <v>0.12</v>
      </c>
      <c r="OL25" s="145">
        <f t="shared" si="19"/>
        <v>7.407407407407407E-2</v>
      </c>
    </row>
    <row r="26" spans="1:402" s="145" customFormat="1" ht="19.5" customHeight="1" x14ac:dyDescent="0.35">
      <c r="A26" s="12" t="s">
        <v>32</v>
      </c>
      <c r="B26" s="156">
        <f>'[1]Sept 07'!C7</f>
        <v>166</v>
      </c>
      <c r="C26" s="156">
        <f>'[1]Oct 07'!C7</f>
        <v>114</v>
      </c>
      <c r="D26" s="156">
        <f>'[1]Nov 07'!C7</f>
        <v>173</v>
      </c>
      <c r="E26" s="156">
        <f>'[1]Dec 07'!C7</f>
        <v>136</v>
      </c>
      <c r="F26" s="156">
        <f>'[1]Jan 08'!C7</f>
        <v>195</v>
      </c>
      <c r="G26" s="143">
        <f>'[1]Feb 08'!C7</f>
        <v>207</v>
      </c>
      <c r="H26" s="143">
        <f>'[1]Mar 08'!C7</f>
        <v>247</v>
      </c>
      <c r="I26" s="143">
        <v>276</v>
      </c>
      <c r="J26" s="143">
        <f>'[1]May 08'!C7</f>
        <v>280</v>
      </c>
      <c r="K26" s="143">
        <f>'[1]Jun 08'!C7</f>
        <v>269</v>
      </c>
      <c r="L26" s="143">
        <f>'[1]Jul 08'!C7</f>
        <v>264</v>
      </c>
      <c r="M26" s="143">
        <f>'[1]Aug 08'!C7</f>
        <v>247</v>
      </c>
      <c r="N26" s="143">
        <v>253</v>
      </c>
      <c r="O26" s="143">
        <v>213</v>
      </c>
      <c r="P26" s="143">
        <v>218</v>
      </c>
      <c r="Q26" s="143">
        <v>186</v>
      </c>
      <c r="R26" s="143">
        <v>223</v>
      </c>
      <c r="S26" s="143">
        <v>246</v>
      </c>
      <c r="T26" s="143">
        <v>342</v>
      </c>
      <c r="U26" s="143">
        <v>428</v>
      </c>
      <c r="V26" s="143">
        <v>489</v>
      </c>
      <c r="W26" s="143">
        <v>508</v>
      </c>
      <c r="X26" s="143">
        <v>446</v>
      </c>
      <c r="Y26" s="143">
        <v>456</v>
      </c>
      <c r="Z26" s="143">
        <v>467</v>
      </c>
      <c r="AA26" s="143">
        <v>464</v>
      </c>
      <c r="AB26" s="143">
        <v>432</v>
      </c>
      <c r="AC26" s="143">
        <v>387</v>
      </c>
      <c r="AD26" s="143">
        <v>412</v>
      </c>
      <c r="AE26" s="143">
        <v>499</v>
      </c>
      <c r="AF26" s="143">
        <v>549</v>
      </c>
      <c r="AG26" s="143">
        <v>597</v>
      </c>
      <c r="AH26" s="143">
        <v>548</v>
      </c>
      <c r="AI26" s="143">
        <v>488</v>
      </c>
      <c r="AJ26" s="143">
        <v>425</v>
      </c>
      <c r="AK26" s="143">
        <v>402</v>
      </c>
      <c r="AL26" s="143">
        <v>409</v>
      </c>
      <c r="AM26" s="143">
        <v>438</v>
      </c>
      <c r="AN26" s="143">
        <v>437</v>
      </c>
      <c r="AO26" s="143">
        <v>394</v>
      </c>
      <c r="AP26" s="143">
        <v>447</v>
      </c>
      <c r="AQ26" s="143">
        <v>474</v>
      </c>
      <c r="AR26" s="143">
        <v>549</v>
      </c>
      <c r="AS26" s="143">
        <v>551</v>
      </c>
      <c r="AT26" s="143">
        <v>601</v>
      </c>
      <c r="AU26" s="143">
        <v>507</v>
      </c>
      <c r="AV26" s="143">
        <v>494</v>
      </c>
      <c r="AW26" s="143">
        <v>471</v>
      </c>
      <c r="AX26" s="143">
        <v>436</v>
      </c>
      <c r="AY26" s="143">
        <v>384</v>
      </c>
      <c r="AZ26" s="143">
        <v>425</v>
      </c>
      <c r="BA26" s="143">
        <v>363</v>
      </c>
      <c r="BB26" s="143">
        <v>429</v>
      </c>
      <c r="BC26" s="143">
        <v>500</v>
      </c>
      <c r="BD26" s="143">
        <v>501</v>
      </c>
      <c r="BE26" s="143">
        <v>555</v>
      </c>
      <c r="BF26" s="143">
        <v>474</v>
      </c>
      <c r="BG26" s="143">
        <v>467</v>
      </c>
      <c r="BH26" s="143">
        <v>442</v>
      </c>
      <c r="BI26" s="143">
        <v>399</v>
      </c>
      <c r="BJ26" s="143">
        <v>382</v>
      </c>
      <c r="BK26" s="143">
        <v>397</v>
      </c>
      <c r="BL26" s="143">
        <v>394</v>
      </c>
      <c r="BM26" s="143">
        <v>314</v>
      </c>
      <c r="BN26" s="143">
        <v>377</v>
      </c>
      <c r="BO26" s="143">
        <v>437</v>
      </c>
      <c r="BP26" s="143">
        <v>423</v>
      </c>
      <c r="BQ26" s="143">
        <v>456</v>
      </c>
      <c r="BR26" s="143">
        <v>411</v>
      </c>
      <c r="BS26" s="143">
        <v>387</v>
      </c>
      <c r="BT26" s="143">
        <v>303</v>
      </c>
      <c r="BU26" s="143">
        <v>283</v>
      </c>
      <c r="BV26" s="143">
        <v>250</v>
      </c>
      <c r="BW26" s="143">
        <v>247</v>
      </c>
      <c r="BX26" s="143">
        <v>235</v>
      </c>
      <c r="BY26" s="143">
        <v>184</v>
      </c>
      <c r="BZ26" s="143">
        <v>242</v>
      </c>
      <c r="CA26" s="143">
        <v>264</v>
      </c>
      <c r="CB26" s="143">
        <v>285</v>
      </c>
      <c r="CC26" s="143">
        <v>295</v>
      </c>
      <c r="CD26" s="143">
        <v>298</v>
      </c>
      <c r="CE26" s="143">
        <v>293</v>
      </c>
      <c r="CF26" s="143">
        <v>254</v>
      </c>
      <c r="CG26" s="143">
        <v>225</v>
      </c>
      <c r="CH26" s="143">
        <v>213</v>
      </c>
      <c r="CI26" s="143">
        <v>192</v>
      </c>
      <c r="CJ26" s="143">
        <v>229</v>
      </c>
      <c r="CK26" s="143">
        <v>177</v>
      </c>
      <c r="CL26" s="143">
        <v>199</v>
      </c>
      <c r="CM26" s="143">
        <v>268</v>
      </c>
      <c r="CN26" s="143">
        <v>322</v>
      </c>
      <c r="CO26" s="143">
        <v>297</v>
      </c>
      <c r="CP26" s="143">
        <v>294</v>
      </c>
      <c r="CQ26" s="143">
        <v>308</v>
      </c>
      <c r="CR26" s="143">
        <v>251</v>
      </c>
      <c r="CS26" s="143">
        <v>255</v>
      </c>
      <c r="CT26" s="143">
        <v>234</v>
      </c>
      <c r="CU26" s="143">
        <v>215</v>
      </c>
      <c r="CV26" s="143">
        <v>229</v>
      </c>
      <c r="CW26" s="143">
        <v>176</v>
      </c>
      <c r="CX26" s="143">
        <v>231</v>
      </c>
      <c r="CY26" s="143">
        <v>283</v>
      </c>
      <c r="CZ26" s="143">
        <v>315</v>
      </c>
      <c r="DA26" s="143">
        <v>302</v>
      </c>
      <c r="DB26" s="143">
        <v>297</v>
      </c>
      <c r="DC26" s="143">
        <v>252</v>
      </c>
      <c r="DD26" s="143">
        <v>269</v>
      </c>
      <c r="DE26" s="143">
        <v>243</v>
      </c>
      <c r="DF26" s="143">
        <v>234</v>
      </c>
      <c r="DG26" s="143">
        <v>227</v>
      </c>
      <c r="DH26" s="143">
        <v>207</v>
      </c>
      <c r="DI26" s="143">
        <v>184</v>
      </c>
      <c r="DJ26" s="143">
        <v>226</v>
      </c>
      <c r="DK26" s="143">
        <v>306</v>
      </c>
      <c r="DL26" s="143">
        <v>301</v>
      </c>
      <c r="DM26" s="143">
        <v>304</v>
      </c>
      <c r="DN26" s="143">
        <v>293</v>
      </c>
      <c r="DO26" s="143">
        <v>245</v>
      </c>
      <c r="DP26" s="143">
        <v>224</v>
      </c>
      <c r="DQ26" s="143">
        <v>212</v>
      </c>
      <c r="DR26" s="143">
        <v>213</v>
      </c>
      <c r="DS26" s="143">
        <v>215</v>
      </c>
      <c r="DT26" s="143">
        <v>221</v>
      </c>
      <c r="DU26" s="143">
        <v>194</v>
      </c>
      <c r="DV26" s="143">
        <v>245</v>
      </c>
      <c r="DW26" s="143">
        <v>281</v>
      </c>
      <c r="DX26" s="143">
        <v>274</v>
      </c>
      <c r="DY26" s="143">
        <v>262</v>
      </c>
      <c r="DZ26" s="143">
        <v>254</v>
      </c>
      <c r="EA26" s="143">
        <v>221</v>
      </c>
      <c r="EB26" s="143">
        <v>221</v>
      </c>
      <c r="EC26" s="143">
        <v>189</v>
      </c>
      <c r="ED26" s="143">
        <v>198</v>
      </c>
      <c r="EE26" s="143">
        <v>161</v>
      </c>
      <c r="EF26" s="143">
        <v>177</v>
      </c>
      <c r="EG26" s="143">
        <v>150</v>
      </c>
      <c r="EH26" s="143">
        <v>187</v>
      </c>
      <c r="EI26" s="143">
        <v>223</v>
      </c>
      <c r="EJ26" s="143">
        <v>245</v>
      </c>
      <c r="EK26" s="143">
        <v>281</v>
      </c>
      <c r="EL26" s="143">
        <v>259</v>
      </c>
      <c r="EM26" s="143">
        <v>239</v>
      </c>
      <c r="EN26" s="143">
        <v>229</v>
      </c>
      <c r="EO26" s="143">
        <v>220</v>
      </c>
      <c r="EP26" s="143">
        <v>206</v>
      </c>
      <c r="EQ26" s="143">
        <v>213</v>
      </c>
      <c r="ER26" s="143">
        <v>235</v>
      </c>
      <c r="ES26" s="143">
        <v>153</v>
      </c>
      <c r="ET26" s="143">
        <v>198</v>
      </c>
      <c r="EU26" s="143">
        <v>238</v>
      </c>
      <c r="EV26" s="143">
        <v>183</v>
      </c>
      <c r="EW26" s="143">
        <v>167</v>
      </c>
      <c r="EX26" s="143">
        <v>203</v>
      </c>
      <c r="EY26" s="143">
        <v>251</v>
      </c>
      <c r="EZ26" s="143">
        <v>226</v>
      </c>
      <c r="FA26" s="143">
        <v>241</v>
      </c>
      <c r="FB26" s="143">
        <v>228</v>
      </c>
      <c r="FC26" s="143">
        <v>255</v>
      </c>
      <c r="FD26" s="143">
        <v>249</v>
      </c>
      <c r="FE26" s="143">
        <v>188</v>
      </c>
      <c r="FF26" s="143">
        <v>234</v>
      </c>
      <c r="FG26" s="143">
        <v>239</v>
      </c>
      <c r="FH26" s="143">
        <v>232</v>
      </c>
      <c r="FI26" s="143">
        <v>220</v>
      </c>
      <c r="FJ26" s="143">
        <v>233</v>
      </c>
      <c r="FK26" s="143">
        <v>202</v>
      </c>
      <c r="FL26" s="143">
        <v>164</v>
      </c>
      <c r="FM26" s="143">
        <v>199</v>
      </c>
      <c r="FN26" s="143">
        <v>176</v>
      </c>
      <c r="FO26" s="143">
        <v>187</v>
      </c>
      <c r="FP26" s="143">
        <v>172</v>
      </c>
      <c r="FQ26" s="143">
        <v>137</v>
      </c>
      <c r="FR26" s="143">
        <v>157</v>
      </c>
      <c r="FS26" s="143">
        <v>166</v>
      </c>
      <c r="FT26" s="143">
        <v>147</v>
      </c>
      <c r="FU26" s="143">
        <v>162</v>
      </c>
      <c r="FV26" s="143">
        <v>111</v>
      </c>
      <c r="FW26" s="143">
        <v>110</v>
      </c>
      <c r="FX26" s="143">
        <v>122</v>
      </c>
      <c r="FY26" s="143">
        <v>12</v>
      </c>
      <c r="FZ26" s="143">
        <v>114</v>
      </c>
      <c r="GA26" s="143">
        <v>115</v>
      </c>
      <c r="GB26" s="143">
        <v>107</v>
      </c>
      <c r="GC26" s="143">
        <v>81</v>
      </c>
      <c r="GD26" s="143">
        <v>86</v>
      </c>
      <c r="GE26" s="143">
        <v>106</v>
      </c>
      <c r="GF26" s="143">
        <v>108</v>
      </c>
      <c r="GG26" s="143">
        <v>126</v>
      </c>
      <c r="GH26" s="143">
        <v>116</v>
      </c>
      <c r="GI26" s="143">
        <v>95</v>
      </c>
      <c r="GJ26" s="143">
        <v>79</v>
      </c>
      <c r="GK26" s="143">
        <v>73</v>
      </c>
      <c r="GL26" s="143">
        <v>65</v>
      </c>
      <c r="GM26" s="143">
        <v>72</v>
      </c>
      <c r="GN26" s="143">
        <v>80</v>
      </c>
      <c r="GO26" s="143">
        <v>58</v>
      </c>
      <c r="GP26" s="143">
        <v>93</v>
      </c>
      <c r="GQ26" s="143">
        <v>96</v>
      </c>
      <c r="GR26" s="143">
        <v>87</v>
      </c>
      <c r="GS26" s="143">
        <f t="shared" si="20"/>
        <v>86.666666666666671</v>
      </c>
      <c r="GT26" s="152"/>
      <c r="GU26" s="12" t="s">
        <v>32</v>
      </c>
      <c r="GV26" s="145" t="s">
        <v>30</v>
      </c>
      <c r="GW26" s="145">
        <f t="shared" ref="GW26:HL28" si="21">(C26-B26)/B26</f>
        <v>-0.31325301204819278</v>
      </c>
      <c r="GX26" s="145">
        <f t="shared" si="21"/>
        <v>0.51754385964912286</v>
      </c>
      <c r="GY26" s="145">
        <f t="shared" si="21"/>
        <v>-0.2138728323699422</v>
      </c>
      <c r="GZ26" s="145">
        <f t="shared" si="21"/>
        <v>0.43382352941176472</v>
      </c>
      <c r="HA26" s="145">
        <f t="shared" si="21"/>
        <v>6.1538461538461542E-2</v>
      </c>
      <c r="HB26" s="145">
        <f t="shared" si="21"/>
        <v>0.19323671497584541</v>
      </c>
      <c r="HC26" s="145">
        <f t="shared" si="21"/>
        <v>0.11740890688259109</v>
      </c>
      <c r="HD26" s="145">
        <f t="shared" si="21"/>
        <v>1.4492753623188406E-2</v>
      </c>
      <c r="HE26" s="145">
        <f t="shared" si="21"/>
        <v>-3.9285714285714285E-2</v>
      </c>
      <c r="HF26" s="145">
        <f t="shared" si="21"/>
        <v>-1.858736059479554E-2</v>
      </c>
      <c r="HG26" s="145">
        <f t="shared" si="21"/>
        <v>-6.4393939393939392E-2</v>
      </c>
      <c r="HH26" s="145">
        <f t="shared" si="21"/>
        <v>2.4291497975708502E-2</v>
      </c>
      <c r="HI26" s="145">
        <f t="shared" si="21"/>
        <v>-0.15810276679841898</v>
      </c>
      <c r="HJ26" s="145">
        <f t="shared" si="21"/>
        <v>2.3474178403755867E-2</v>
      </c>
      <c r="HK26" s="145">
        <f t="shared" si="21"/>
        <v>-0.14678899082568808</v>
      </c>
      <c r="HL26" s="145">
        <f t="shared" si="21"/>
        <v>0.19892473118279569</v>
      </c>
      <c r="HM26" s="145">
        <f t="shared" ref="HM26:IB28" si="22">(S26-R26)/R26</f>
        <v>0.1031390134529148</v>
      </c>
      <c r="HN26" s="145">
        <f t="shared" si="22"/>
        <v>0.3902439024390244</v>
      </c>
      <c r="HO26" s="145">
        <f t="shared" si="22"/>
        <v>0.25146198830409355</v>
      </c>
      <c r="HP26" s="145">
        <f t="shared" si="22"/>
        <v>0.1425233644859813</v>
      </c>
      <c r="HQ26" s="145">
        <f t="shared" si="22"/>
        <v>3.8854805725971372E-2</v>
      </c>
      <c r="HR26" s="145">
        <f t="shared" si="22"/>
        <v>-0.12204724409448819</v>
      </c>
      <c r="HS26" s="145">
        <f t="shared" si="22"/>
        <v>2.2421524663677129E-2</v>
      </c>
      <c r="HT26" s="145">
        <f t="shared" si="22"/>
        <v>2.4122807017543858E-2</v>
      </c>
      <c r="HU26" s="145">
        <f t="shared" si="22"/>
        <v>-6.4239828693790149E-3</v>
      </c>
      <c r="HV26" s="145">
        <f t="shared" si="22"/>
        <v>-6.8965517241379309E-2</v>
      </c>
      <c r="HW26" s="145">
        <f t="shared" si="22"/>
        <v>-0.10416666666666667</v>
      </c>
      <c r="HX26" s="145">
        <f t="shared" si="22"/>
        <v>6.4599483204134361E-2</v>
      </c>
      <c r="HY26" s="145">
        <f t="shared" si="22"/>
        <v>0.21116504854368931</v>
      </c>
      <c r="HZ26" s="145">
        <f t="shared" si="22"/>
        <v>0.10020040080160321</v>
      </c>
      <c r="IA26" s="145">
        <f t="shared" si="22"/>
        <v>8.7431693989071038E-2</v>
      </c>
      <c r="IB26" s="145">
        <f t="shared" si="22"/>
        <v>-8.2077051926298161E-2</v>
      </c>
      <c r="IC26" s="145">
        <f t="shared" ref="IC26:IR28" si="23">(AI26-AH26)/AH26</f>
        <v>-0.10948905109489052</v>
      </c>
      <c r="ID26" s="145">
        <f t="shared" si="23"/>
        <v>-0.12909836065573771</v>
      </c>
      <c r="IE26" s="145">
        <f t="shared" si="23"/>
        <v>-5.4117647058823527E-2</v>
      </c>
      <c r="IF26" s="145">
        <f t="shared" si="23"/>
        <v>1.7412935323383085E-2</v>
      </c>
      <c r="IG26" s="145">
        <f t="shared" si="23"/>
        <v>7.090464547677261E-2</v>
      </c>
      <c r="IH26" s="145">
        <f t="shared" si="23"/>
        <v>-2.2831050228310501E-3</v>
      </c>
      <c r="II26" s="145">
        <f t="shared" si="23"/>
        <v>-9.8398169336384442E-2</v>
      </c>
      <c r="IJ26" s="145">
        <f t="shared" si="23"/>
        <v>0.13451776649746192</v>
      </c>
      <c r="IK26" s="145">
        <f t="shared" si="23"/>
        <v>6.0402684563758392E-2</v>
      </c>
      <c r="IL26" s="145">
        <f t="shared" si="23"/>
        <v>0.15822784810126583</v>
      </c>
      <c r="IM26" s="145">
        <f t="shared" si="23"/>
        <v>3.6429872495446266E-3</v>
      </c>
      <c r="IN26" s="145">
        <f t="shared" si="23"/>
        <v>9.0744101633393831E-2</v>
      </c>
      <c r="IO26" s="145">
        <f t="shared" si="23"/>
        <v>-0.15640599001663893</v>
      </c>
      <c r="IP26" s="145">
        <f t="shared" si="23"/>
        <v>-2.564102564102564E-2</v>
      </c>
      <c r="IQ26" s="145">
        <f t="shared" si="23"/>
        <v>-4.6558704453441298E-2</v>
      </c>
      <c r="IR26" s="145">
        <f t="shared" si="23"/>
        <v>-7.4309978768577492E-2</v>
      </c>
      <c r="IS26" s="145">
        <f t="shared" ref="IS26:JH28" si="24">(AY26-AX26)/AX26</f>
        <v>-0.11926605504587157</v>
      </c>
      <c r="IT26" s="145">
        <f t="shared" si="24"/>
        <v>0.10677083333333333</v>
      </c>
      <c r="IU26" s="145">
        <f t="shared" si="24"/>
        <v>-0.14588235294117646</v>
      </c>
      <c r="IV26" s="145">
        <f t="shared" si="24"/>
        <v>0.18181818181818182</v>
      </c>
      <c r="IW26" s="145">
        <f t="shared" si="24"/>
        <v>0.1655011655011655</v>
      </c>
      <c r="IX26" s="145">
        <f t="shared" si="24"/>
        <v>2E-3</v>
      </c>
      <c r="IY26" s="145">
        <f t="shared" si="24"/>
        <v>0.10778443113772455</v>
      </c>
      <c r="IZ26" s="145">
        <f t="shared" si="24"/>
        <v>-0.14594594594594595</v>
      </c>
      <c r="JA26" s="145">
        <f t="shared" si="24"/>
        <v>-1.4767932489451477E-2</v>
      </c>
      <c r="JB26" s="145">
        <f t="shared" si="24"/>
        <v>-5.353319057815846E-2</v>
      </c>
      <c r="JC26" s="145">
        <f t="shared" si="24"/>
        <v>-9.7285067873303169E-2</v>
      </c>
      <c r="JD26" s="145">
        <f t="shared" si="24"/>
        <v>-4.2606516290726815E-2</v>
      </c>
      <c r="JE26" s="145">
        <f t="shared" si="24"/>
        <v>3.9267015706806283E-2</v>
      </c>
      <c r="JF26" s="145">
        <f t="shared" si="24"/>
        <v>-7.556675062972292E-3</v>
      </c>
      <c r="JG26" s="145">
        <f t="shared" si="24"/>
        <v>-0.20304568527918782</v>
      </c>
      <c r="JH26" s="145">
        <f t="shared" si="24"/>
        <v>0.20063694267515925</v>
      </c>
      <c r="JI26" s="145">
        <f t="shared" ref="JI26:JX28" si="25">(BO26-BN26)/BN26</f>
        <v>0.15915119363395225</v>
      </c>
      <c r="JJ26" s="145">
        <f t="shared" si="25"/>
        <v>-3.2036613272311214E-2</v>
      </c>
      <c r="JK26" s="145">
        <f t="shared" si="25"/>
        <v>7.8014184397163122E-2</v>
      </c>
      <c r="JL26" s="145">
        <f t="shared" si="25"/>
        <v>-9.8684210526315791E-2</v>
      </c>
      <c r="JM26" s="145">
        <f t="shared" si="25"/>
        <v>-5.8394160583941604E-2</v>
      </c>
      <c r="JN26" s="145">
        <f t="shared" si="25"/>
        <v>-0.21705426356589147</v>
      </c>
      <c r="JO26" s="145">
        <f t="shared" si="25"/>
        <v>-6.6006600660066E-2</v>
      </c>
      <c r="JP26" s="145">
        <f t="shared" si="25"/>
        <v>-0.1166077738515901</v>
      </c>
      <c r="JQ26" s="145">
        <f t="shared" si="25"/>
        <v>-1.2E-2</v>
      </c>
      <c r="JR26" s="145">
        <f t="shared" si="25"/>
        <v>-4.8582995951417005E-2</v>
      </c>
      <c r="JS26" s="145">
        <f t="shared" si="25"/>
        <v>-0.21702127659574469</v>
      </c>
      <c r="JT26" s="145">
        <f t="shared" si="25"/>
        <v>0.31521739130434784</v>
      </c>
      <c r="JU26" s="145">
        <f t="shared" si="25"/>
        <v>9.0909090909090912E-2</v>
      </c>
      <c r="JV26" s="145">
        <f t="shared" si="25"/>
        <v>7.9545454545454544E-2</v>
      </c>
      <c r="JW26" s="145">
        <f t="shared" si="25"/>
        <v>3.5087719298245612E-2</v>
      </c>
      <c r="JX26" s="145">
        <f t="shared" si="25"/>
        <v>1.0169491525423728E-2</v>
      </c>
      <c r="JY26" s="145">
        <f t="shared" ref="JY26:KN28" si="26">(CE26-CD26)/CD26</f>
        <v>-1.6778523489932886E-2</v>
      </c>
      <c r="JZ26" s="145">
        <f t="shared" si="26"/>
        <v>-0.13310580204778158</v>
      </c>
      <c r="KA26" s="145">
        <f t="shared" si="26"/>
        <v>-0.1141732283464567</v>
      </c>
      <c r="KB26" s="145">
        <f t="shared" si="26"/>
        <v>-5.3333333333333337E-2</v>
      </c>
      <c r="KC26" s="145">
        <f t="shared" si="26"/>
        <v>-9.8591549295774641E-2</v>
      </c>
      <c r="KD26" s="145">
        <f t="shared" si="26"/>
        <v>0.19270833333333334</v>
      </c>
      <c r="KE26" s="145">
        <f t="shared" si="26"/>
        <v>-0.22707423580786026</v>
      </c>
      <c r="KF26" s="145">
        <f t="shared" si="26"/>
        <v>0.12429378531073447</v>
      </c>
      <c r="KG26" s="145">
        <f t="shared" si="26"/>
        <v>0.34673366834170855</v>
      </c>
      <c r="KH26" s="145">
        <f t="shared" si="26"/>
        <v>0.20149253731343283</v>
      </c>
      <c r="KI26" s="145">
        <f t="shared" si="26"/>
        <v>-7.7639751552795025E-2</v>
      </c>
      <c r="KJ26" s="145">
        <f t="shared" si="26"/>
        <v>-1.0101010101010102E-2</v>
      </c>
      <c r="KK26" s="145">
        <f t="shared" si="26"/>
        <v>4.7619047619047616E-2</v>
      </c>
      <c r="KL26" s="145">
        <f t="shared" si="26"/>
        <v>-0.18506493506493507</v>
      </c>
      <c r="KM26" s="145">
        <f t="shared" si="26"/>
        <v>1.5936254980079681E-2</v>
      </c>
      <c r="KN26" s="145">
        <f t="shared" si="26"/>
        <v>-8.2352941176470587E-2</v>
      </c>
      <c r="KO26" s="145">
        <f t="shared" ref="KO26:LD28" si="27">(CU26-CT26)/CT26</f>
        <v>-8.11965811965812E-2</v>
      </c>
      <c r="KP26" s="145">
        <f t="shared" si="27"/>
        <v>6.5116279069767441E-2</v>
      </c>
      <c r="KQ26" s="145">
        <f t="shared" si="27"/>
        <v>-0.23144104803493451</v>
      </c>
      <c r="KR26" s="145">
        <f t="shared" si="27"/>
        <v>0.3125</v>
      </c>
      <c r="KS26" s="145">
        <f t="shared" si="27"/>
        <v>0.22510822510822512</v>
      </c>
      <c r="KT26" s="145">
        <f t="shared" si="27"/>
        <v>0.11307420494699646</v>
      </c>
      <c r="KU26" s="145">
        <f t="shared" si="27"/>
        <v>-4.1269841269841269E-2</v>
      </c>
      <c r="KV26" s="145">
        <f t="shared" si="27"/>
        <v>-1.6556291390728478E-2</v>
      </c>
      <c r="KW26" s="145">
        <f t="shared" si="27"/>
        <v>-0.15151515151515152</v>
      </c>
      <c r="KX26" s="145">
        <f t="shared" si="27"/>
        <v>6.7460317460317457E-2</v>
      </c>
      <c r="KY26" s="145">
        <f t="shared" si="27"/>
        <v>-9.6654275092936809E-2</v>
      </c>
      <c r="KZ26" s="145">
        <f t="shared" si="27"/>
        <v>-3.7037037037037035E-2</v>
      </c>
      <c r="LA26" s="145">
        <f t="shared" si="27"/>
        <v>-2.9914529914529916E-2</v>
      </c>
      <c r="LB26" s="145">
        <f t="shared" si="27"/>
        <v>-8.8105726872246701E-2</v>
      </c>
      <c r="LC26" s="145">
        <f t="shared" si="27"/>
        <v>-0.1111111111111111</v>
      </c>
      <c r="LD26" s="145">
        <f t="shared" si="27"/>
        <v>0.22826086956521738</v>
      </c>
      <c r="LE26" s="145">
        <f t="shared" si="15"/>
        <v>0.35398230088495575</v>
      </c>
      <c r="LF26" s="145">
        <f t="shared" si="15"/>
        <v>-1.6339869281045753E-2</v>
      </c>
      <c r="LG26" s="145">
        <f t="shared" si="15"/>
        <v>9.9667774086378731E-3</v>
      </c>
      <c r="LH26" s="145">
        <f t="shared" si="15"/>
        <v>-3.6184210526315791E-2</v>
      </c>
      <c r="LI26" s="145">
        <f t="shared" si="15"/>
        <v>-0.16382252559726962</v>
      </c>
      <c r="LJ26" s="145">
        <f t="shared" si="15"/>
        <v>-8.5714285714285715E-2</v>
      </c>
      <c r="LK26" s="145">
        <f t="shared" si="15"/>
        <v>-5.3571428571428568E-2</v>
      </c>
      <c r="LL26" s="145">
        <f t="shared" si="15"/>
        <v>4.7169811320754715E-3</v>
      </c>
      <c r="LM26" s="145">
        <f t="shared" si="15"/>
        <v>9.3896713615023476E-3</v>
      </c>
      <c r="LN26" s="145">
        <f t="shared" si="15"/>
        <v>2.7906976744186046E-2</v>
      </c>
      <c r="LO26" s="145">
        <f t="shared" si="15"/>
        <v>-0.12217194570135746</v>
      </c>
      <c r="LP26" s="145">
        <f t="shared" si="15"/>
        <v>0.26288659793814434</v>
      </c>
      <c r="LQ26" s="145">
        <f t="shared" si="15"/>
        <v>0.14693877551020409</v>
      </c>
      <c r="LR26" s="145">
        <f t="shared" si="15"/>
        <v>-2.491103202846975E-2</v>
      </c>
      <c r="LS26" s="145">
        <f t="shared" si="15"/>
        <v>-4.3795620437956206E-2</v>
      </c>
      <c r="LT26" s="145">
        <f t="shared" si="15"/>
        <v>-3.0534351145038167E-2</v>
      </c>
      <c r="LU26" s="145">
        <f t="shared" si="16"/>
        <v>-0.12992125984251968</v>
      </c>
      <c r="LV26" s="145">
        <f t="shared" si="16"/>
        <v>0</v>
      </c>
      <c r="LW26" s="145">
        <f t="shared" si="16"/>
        <v>-0.14479638009049775</v>
      </c>
      <c r="LX26" s="145">
        <f t="shared" si="16"/>
        <v>4.7619047619047616E-2</v>
      </c>
      <c r="LY26" s="145">
        <f t="shared" si="16"/>
        <v>-0.18686868686868688</v>
      </c>
      <c r="LZ26" s="145">
        <f t="shared" si="16"/>
        <v>9.9378881987577633E-2</v>
      </c>
      <c r="MA26" s="145">
        <f t="shared" si="16"/>
        <v>-0.15254237288135594</v>
      </c>
      <c r="MB26" s="145">
        <f t="shared" si="16"/>
        <v>0.24666666666666667</v>
      </c>
      <c r="MC26" s="145">
        <f t="shared" si="16"/>
        <v>0.19251336898395721</v>
      </c>
      <c r="MD26" s="145">
        <f t="shared" si="16"/>
        <v>9.8654708520179366E-2</v>
      </c>
      <c r="ME26" s="145">
        <f t="shared" si="16"/>
        <v>0.14693877551020409</v>
      </c>
      <c r="MF26" s="145">
        <f t="shared" si="16"/>
        <v>-7.8291814946619215E-2</v>
      </c>
      <c r="MG26" s="145">
        <f t="shared" si="16"/>
        <v>-7.7220077220077218E-2</v>
      </c>
      <c r="MH26" s="145">
        <f t="shared" si="16"/>
        <v>-4.1841004184100417E-2</v>
      </c>
      <c r="MI26" s="145">
        <f t="shared" si="16"/>
        <v>-3.9301310043668124E-2</v>
      </c>
      <c r="MJ26" s="145">
        <f t="shared" si="16"/>
        <v>-6.363636363636363E-2</v>
      </c>
      <c r="MK26" s="145">
        <f t="shared" si="16"/>
        <v>3.3980582524271843E-2</v>
      </c>
      <c r="ML26" s="145">
        <f t="shared" si="16"/>
        <v>0.10328638497652583</v>
      </c>
      <c r="MM26" s="145">
        <f t="shared" si="16"/>
        <v>-0.34893617021276596</v>
      </c>
      <c r="MN26" s="145">
        <f t="shared" si="16"/>
        <v>0.29411764705882354</v>
      </c>
      <c r="MO26" s="145">
        <f t="shared" si="16"/>
        <v>0.20202020202020202</v>
      </c>
      <c r="MP26" s="145">
        <f t="shared" si="16"/>
        <v>-0.23109243697478993</v>
      </c>
      <c r="MQ26" s="145">
        <f t="shared" si="16"/>
        <v>-8.7431693989071038E-2</v>
      </c>
      <c r="MR26" s="145">
        <f t="shared" si="16"/>
        <v>0.21556886227544911</v>
      </c>
      <c r="MS26" s="145">
        <f>(EZ26-EY26)/EY26</f>
        <v>-9.9601593625498003E-2</v>
      </c>
      <c r="MT26" s="145">
        <f t="shared" si="17"/>
        <v>-0.11061946902654868</v>
      </c>
      <c r="MU26" s="145">
        <f t="shared" si="17"/>
        <v>6.2240663900414939E-2</v>
      </c>
      <c r="MV26" s="145">
        <f t="shared" si="17"/>
        <v>-5.701754385964912E-2</v>
      </c>
      <c r="MW26" s="145">
        <f t="shared" si="17"/>
        <v>0.10588235294117647</v>
      </c>
      <c r="MX26" s="145">
        <f t="shared" si="17"/>
        <v>-2.4096385542168676E-2</v>
      </c>
      <c r="MY26" s="145">
        <f t="shared" si="17"/>
        <v>-0.32446808510638298</v>
      </c>
      <c r="MZ26" s="145">
        <f t="shared" si="17"/>
        <v>0.19658119658119658</v>
      </c>
      <c r="NA26" s="145">
        <f t="shared" si="17"/>
        <v>2.0920502092050208E-2</v>
      </c>
      <c r="NB26" s="145">
        <f t="shared" si="17"/>
        <v>-3.017241379310345E-2</v>
      </c>
      <c r="NC26" s="145">
        <f t="shared" si="17"/>
        <v>-5.4545454545454543E-2</v>
      </c>
      <c r="ND26" s="145">
        <f t="shared" si="17"/>
        <v>5.5793991416309016E-2</v>
      </c>
      <c r="NE26" s="145">
        <f t="shared" si="17"/>
        <v>-0.15346534653465346</v>
      </c>
      <c r="NF26" s="145">
        <f t="shared" si="17"/>
        <v>-0.23170731707317074</v>
      </c>
      <c r="NG26" s="145">
        <f t="shared" si="17"/>
        <v>0.17587939698492464</v>
      </c>
      <c r="NH26" s="145">
        <f t="shared" si="17"/>
        <v>-0.13068181818181818</v>
      </c>
      <c r="NI26" s="145">
        <f t="shared" si="17"/>
        <v>5.8823529411764705E-2</v>
      </c>
      <c r="NJ26" s="145">
        <f t="shared" si="18"/>
        <v>-8.7209302325581398E-2</v>
      </c>
      <c r="NK26" s="145">
        <f t="shared" si="18"/>
        <v>-0.25547445255474455</v>
      </c>
      <c r="NL26" s="145">
        <f t="shared" si="18"/>
        <v>0.12738853503184713</v>
      </c>
      <c r="NM26" s="145">
        <f t="shared" si="18"/>
        <v>5.4216867469879519E-2</v>
      </c>
      <c r="NN26" s="145">
        <f t="shared" si="18"/>
        <v>-0.12925170068027211</v>
      </c>
      <c r="NO26" s="145">
        <f t="shared" si="18"/>
        <v>9.2592592592592587E-2</v>
      </c>
      <c r="NP26" s="145">
        <f t="shared" si="18"/>
        <v>-0.45945945945945948</v>
      </c>
      <c r="NQ26" s="145">
        <f t="shared" si="18"/>
        <v>-9.0909090909090905E-3</v>
      </c>
      <c r="NR26" s="145">
        <f t="shared" si="18"/>
        <v>9.8360655737704916E-2</v>
      </c>
      <c r="NS26" s="145">
        <f t="shared" si="18"/>
        <v>-9.1666666666666661</v>
      </c>
      <c r="NT26" s="145">
        <f t="shared" si="18"/>
        <v>0.89473684210526316</v>
      </c>
      <c r="NU26" s="145">
        <f t="shared" si="18"/>
        <v>8.6956521739130436E-3</v>
      </c>
      <c r="NV26" s="145">
        <f t="shared" si="18"/>
        <v>-7.476635514018691E-2</v>
      </c>
      <c r="NW26" s="145">
        <f t="shared" si="18"/>
        <v>-0.32098765432098764</v>
      </c>
      <c r="NX26" s="145">
        <f t="shared" si="19"/>
        <v>5.8139534883720929E-2</v>
      </c>
      <c r="NY26" s="145">
        <f t="shared" si="19"/>
        <v>0.18867924528301888</v>
      </c>
      <c r="NZ26" s="145">
        <f t="shared" si="19"/>
        <v>1.8518518518518517E-2</v>
      </c>
      <c r="OA26" s="145">
        <f t="shared" si="19"/>
        <v>0.14285714285714285</v>
      </c>
      <c r="OB26" s="145">
        <f t="shared" si="19"/>
        <v>-8.6206896551724144E-2</v>
      </c>
      <c r="OC26" s="145">
        <f t="shared" si="19"/>
        <v>-0.22105263157894736</v>
      </c>
      <c r="OD26" s="145">
        <f t="shared" si="19"/>
        <v>-0.20253164556962025</v>
      </c>
      <c r="OE26" s="145">
        <f t="shared" si="19"/>
        <v>-8.2191780821917804E-2</v>
      </c>
      <c r="OF26" s="145">
        <f t="shared" si="19"/>
        <v>-0.12307692307692308</v>
      </c>
      <c r="OG26" s="145">
        <f t="shared" si="19"/>
        <v>9.7222222222222224E-2</v>
      </c>
      <c r="OH26" s="145">
        <f t="shared" si="19"/>
        <v>0.1</v>
      </c>
      <c r="OI26" s="145">
        <f t="shared" si="19"/>
        <v>-0.37931034482758619</v>
      </c>
      <c r="OJ26" s="145">
        <f t="shared" si="19"/>
        <v>0.37634408602150538</v>
      </c>
      <c r="OK26" s="145">
        <f t="shared" si="19"/>
        <v>3.125E-2</v>
      </c>
      <c r="OL26" s="145">
        <f t="shared" si="19"/>
        <v>-0.10344827586206896</v>
      </c>
    </row>
    <row r="27" spans="1:402" s="145" customFormat="1" ht="19.5" customHeight="1" x14ac:dyDescent="0.35">
      <c r="A27" s="12" t="s">
        <v>33</v>
      </c>
      <c r="B27" s="156">
        <f>'[1]Sept 07'!C9</f>
        <v>144</v>
      </c>
      <c r="C27" s="156">
        <f>'[1]Oct 07'!C9</f>
        <v>184</v>
      </c>
      <c r="D27" s="156">
        <f>'[1]Nov 07'!C9</f>
        <v>125</v>
      </c>
      <c r="E27" s="156">
        <f>'[1]Dec 07'!C9</f>
        <v>146</v>
      </c>
      <c r="F27" s="156">
        <f>'[1]Jan 08'!C9</f>
        <v>148</v>
      </c>
      <c r="G27" s="143">
        <f>'[1]Feb 08'!C9</f>
        <v>180</v>
      </c>
      <c r="H27" s="143">
        <f>'[1]Mar 08'!C9</f>
        <v>190</v>
      </c>
      <c r="I27" s="143">
        <v>225</v>
      </c>
      <c r="J27" s="143">
        <f>'[1]May 08'!C9</f>
        <v>253</v>
      </c>
      <c r="K27" s="143">
        <f>'[1]Jun 08'!C9</f>
        <v>271</v>
      </c>
      <c r="L27" s="143">
        <f>'[1]Jul 08'!C9</f>
        <v>245</v>
      </c>
      <c r="M27" s="143">
        <f>'[1]Aug 08'!C9</f>
        <v>235</v>
      </c>
      <c r="N27" s="143">
        <v>202</v>
      </c>
      <c r="O27" s="143">
        <v>200</v>
      </c>
      <c r="P27" s="143">
        <v>155</v>
      </c>
      <c r="Q27" s="143">
        <v>200</v>
      </c>
      <c r="R27" s="143">
        <v>155</v>
      </c>
      <c r="S27" s="143">
        <v>172</v>
      </c>
      <c r="T27" s="143">
        <v>209</v>
      </c>
      <c r="U27" s="143">
        <v>263</v>
      </c>
      <c r="V27" s="143">
        <v>307</v>
      </c>
      <c r="W27" s="143">
        <v>385</v>
      </c>
      <c r="X27" s="143">
        <v>350</v>
      </c>
      <c r="Y27" s="143">
        <v>298</v>
      </c>
      <c r="Z27" s="143">
        <v>314</v>
      </c>
      <c r="AA27" s="143">
        <v>310</v>
      </c>
      <c r="AB27" s="143">
        <v>311</v>
      </c>
      <c r="AC27" s="143">
        <v>326</v>
      </c>
      <c r="AD27" s="143">
        <v>225</v>
      </c>
      <c r="AE27" s="143">
        <v>262</v>
      </c>
      <c r="AF27" s="143">
        <v>388</v>
      </c>
      <c r="AG27" s="143">
        <v>392</v>
      </c>
      <c r="AH27" s="143">
        <v>393</v>
      </c>
      <c r="AI27" s="143">
        <v>394</v>
      </c>
      <c r="AJ27" s="143">
        <v>333</v>
      </c>
      <c r="AK27" s="143">
        <v>307</v>
      </c>
      <c r="AL27" s="143">
        <v>265</v>
      </c>
      <c r="AM27" s="143">
        <v>301</v>
      </c>
      <c r="AN27" s="143">
        <v>294</v>
      </c>
      <c r="AO27" s="143">
        <v>354</v>
      </c>
      <c r="AP27" s="143">
        <v>299</v>
      </c>
      <c r="AQ27" s="143">
        <v>350</v>
      </c>
      <c r="AR27" s="143">
        <v>384</v>
      </c>
      <c r="AS27" s="143">
        <v>433</v>
      </c>
      <c r="AT27" s="143">
        <v>425</v>
      </c>
      <c r="AU27" s="143">
        <v>519</v>
      </c>
      <c r="AV27" s="143">
        <v>374</v>
      </c>
      <c r="AW27" s="143">
        <v>402</v>
      </c>
      <c r="AX27" s="143">
        <v>349</v>
      </c>
      <c r="AY27" s="143">
        <v>363</v>
      </c>
      <c r="AZ27" s="143">
        <v>297</v>
      </c>
      <c r="BA27" s="143">
        <v>366</v>
      </c>
      <c r="BB27" s="143">
        <v>293</v>
      </c>
      <c r="BC27" s="143">
        <v>353</v>
      </c>
      <c r="BD27" s="143">
        <v>445</v>
      </c>
      <c r="BE27" s="143">
        <v>464</v>
      </c>
      <c r="BF27" s="143">
        <v>509</v>
      </c>
      <c r="BG27" s="143">
        <v>446</v>
      </c>
      <c r="BH27" s="143">
        <v>377</v>
      </c>
      <c r="BI27" s="143">
        <v>402</v>
      </c>
      <c r="BJ27" s="143">
        <v>345</v>
      </c>
      <c r="BK27" s="143">
        <v>358</v>
      </c>
      <c r="BL27" s="143">
        <v>349</v>
      </c>
      <c r="BM27" s="143">
        <v>360</v>
      </c>
      <c r="BN27" s="143">
        <v>305</v>
      </c>
      <c r="BO27" s="143">
        <v>346</v>
      </c>
      <c r="BP27" s="143">
        <v>453</v>
      </c>
      <c r="BQ27" s="143">
        <v>478</v>
      </c>
      <c r="BR27" s="143">
        <v>471</v>
      </c>
      <c r="BS27" s="143">
        <v>470</v>
      </c>
      <c r="BT27" s="143">
        <v>454</v>
      </c>
      <c r="BU27" s="143">
        <v>342</v>
      </c>
      <c r="BV27" s="143">
        <v>311</v>
      </c>
      <c r="BW27" s="143">
        <v>291</v>
      </c>
      <c r="BX27" s="143">
        <v>284</v>
      </c>
      <c r="BY27" s="143">
        <v>281</v>
      </c>
      <c r="BZ27" s="143">
        <v>226</v>
      </c>
      <c r="CA27" s="143">
        <v>270</v>
      </c>
      <c r="CB27" s="143">
        <v>321</v>
      </c>
      <c r="CC27" s="143">
        <v>384</v>
      </c>
      <c r="CD27" s="143">
        <v>368</v>
      </c>
      <c r="CE27" s="143">
        <v>402</v>
      </c>
      <c r="CF27" s="143">
        <v>362</v>
      </c>
      <c r="CG27" s="143">
        <v>324</v>
      </c>
      <c r="CH27" s="143">
        <v>314</v>
      </c>
      <c r="CI27" s="143">
        <v>296</v>
      </c>
      <c r="CJ27" s="143">
        <v>227</v>
      </c>
      <c r="CK27" s="143">
        <v>320</v>
      </c>
      <c r="CL27" s="143">
        <v>256</v>
      </c>
      <c r="CM27" s="143">
        <v>260</v>
      </c>
      <c r="CN27" s="143">
        <v>404</v>
      </c>
      <c r="CO27" s="143">
        <v>415</v>
      </c>
      <c r="CP27" s="143">
        <v>400</v>
      </c>
      <c r="CQ27" s="143">
        <v>405</v>
      </c>
      <c r="CR27" s="143">
        <v>430</v>
      </c>
      <c r="CS27" s="143">
        <v>337</v>
      </c>
      <c r="CT27" s="143">
        <v>367</v>
      </c>
      <c r="CU27" s="143">
        <v>338</v>
      </c>
      <c r="CV27" s="143">
        <v>265</v>
      </c>
      <c r="CW27" s="143">
        <v>297</v>
      </c>
      <c r="CX27" s="143">
        <v>227</v>
      </c>
      <c r="CY27" s="143">
        <v>274</v>
      </c>
      <c r="CZ27" s="143">
        <v>408</v>
      </c>
      <c r="DA27" s="143">
        <v>448</v>
      </c>
      <c r="DB27" s="143">
        <v>420</v>
      </c>
      <c r="DC27" s="143">
        <v>437</v>
      </c>
      <c r="DD27" s="143">
        <v>337</v>
      </c>
      <c r="DE27" s="143">
        <v>398</v>
      </c>
      <c r="DF27" s="143">
        <v>354</v>
      </c>
      <c r="DG27" s="143">
        <v>345</v>
      </c>
      <c r="DH27" s="143">
        <v>318</v>
      </c>
      <c r="DI27" s="143">
        <v>339</v>
      </c>
      <c r="DJ27" s="143">
        <v>301</v>
      </c>
      <c r="DK27" s="143">
        <v>308</v>
      </c>
      <c r="DL27" s="143">
        <v>449</v>
      </c>
      <c r="DM27" s="143">
        <v>416</v>
      </c>
      <c r="DN27" s="143">
        <v>481</v>
      </c>
      <c r="DO27" s="143">
        <v>439</v>
      </c>
      <c r="DP27" s="143">
        <v>354</v>
      </c>
      <c r="DQ27" s="143">
        <v>376</v>
      </c>
      <c r="DR27" s="143">
        <v>321</v>
      </c>
      <c r="DS27" s="143">
        <v>357</v>
      </c>
      <c r="DT27" s="143">
        <v>330</v>
      </c>
      <c r="DU27" s="143">
        <v>340</v>
      </c>
      <c r="DV27" s="143">
        <v>314</v>
      </c>
      <c r="DW27" s="143">
        <v>356</v>
      </c>
      <c r="DX27" s="143">
        <v>420</v>
      </c>
      <c r="DY27" s="143">
        <v>436</v>
      </c>
      <c r="DZ27" s="143">
        <v>486</v>
      </c>
      <c r="EA27" s="143">
        <v>441</v>
      </c>
      <c r="EB27" s="143">
        <v>392</v>
      </c>
      <c r="EC27" s="143">
        <v>358</v>
      </c>
      <c r="ED27" s="143">
        <v>274</v>
      </c>
      <c r="EE27" s="143">
        <v>303</v>
      </c>
      <c r="EF27" s="143">
        <v>286</v>
      </c>
      <c r="EG27" s="143">
        <v>284</v>
      </c>
      <c r="EH27" s="143">
        <v>268</v>
      </c>
      <c r="EI27" s="143">
        <v>302</v>
      </c>
      <c r="EJ27" s="143">
        <v>376</v>
      </c>
      <c r="EK27" s="143">
        <v>424</v>
      </c>
      <c r="EL27" s="143">
        <v>497</v>
      </c>
      <c r="EM27" s="143">
        <v>420</v>
      </c>
      <c r="EN27" s="143">
        <v>395</v>
      </c>
      <c r="EO27" s="143">
        <v>395</v>
      </c>
      <c r="EP27" s="143">
        <v>372</v>
      </c>
      <c r="EQ27" s="143">
        <v>363</v>
      </c>
      <c r="ER27" s="143">
        <v>280</v>
      </c>
      <c r="ES27" s="143">
        <v>364</v>
      </c>
      <c r="ET27" s="143">
        <v>263</v>
      </c>
      <c r="EU27" s="143">
        <v>329</v>
      </c>
      <c r="EV27" s="143">
        <v>357</v>
      </c>
      <c r="EW27" s="143">
        <v>251</v>
      </c>
      <c r="EX27" s="143">
        <v>256</v>
      </c>
      <c r="EY27" s="143">
        <v>417</v>
      </c>
      <c r="EZ27" s="143">
        <v>428</v>
      </c>
      <c r="FA27" s="143">
        <v>392</v>
      </c>
      <c r="FB27" s="143">
        <v>380</v>
      </c>
      <c r="FC27" s="143">
        <v>419</v>
      </c>
      <c r="FD27" s="143">
        <v>378</v>
      </c>
      <c r="FE27" s="143">
        <v>404</v>
      </c>
      <c r="FF27" s="143">
        <v>336</v>
      </c>
      <c r="FG27" s="143">
        <v>350</v>
      </c>
      <c r="FH27" s="143">
        <v>400</v>
      </c>
      <c r="FI27" s="143">
        <v>400</v>
      </c>
      <c r="FJ27" s="143">
        <v>369</v>
      </c>
      <c r="FK27" s="143">
        <v>359</v>
      </c>
      <c r="FL27" s="143">
        <v>323</v>
      </c>
      <c r="FM27" s="143">
        <v>300</v>
      </c>
      <c r="FN27" s="143">
        <v>306</v>
      </c>
      <c r="FO27" s="143">
        <v>265</v>
      </c>
      <c r="FP27" s="143">
        <v>316</v>
      </c>
      <c r="FQ27" s="143">
        <v>271</v>
      </c>
      <c r="FR27" s="143">
        <v>217</v>
      </c>
      <c r="FS27" s="143">
        <v>226</v>
      </c>
      <c r="FT27" s="143">
        <v>251</v>
      </c>
      <c r="FU27" s="143">
        <v>240</v>
      </c>
      <c r="FV27" s="143">
        <v>240</v>
      </c>
      <c r="FW27" s="143">
        <v>190</v>
      </c>
      <c r="FX27" s="143">
        <v>123</v>
      </c>
      <c r="FY27" s="143">
        <v>168</v>
      </c>
      <c r="FZ27" s="143">
        <v>152</v>
      </c>
      <c r="GA27" s="143">
        <v>134</v>
      </c>
      <c r="GB27" s="143">
        <v>132</v>
      </c>
      <c r="GC27" s="143">
        <v>127</v>
      </c>
      <c r="GD27" s="143">
        <v>108</v>
      </c>
      <c r="GE27" s="143">
        <v>119</v>
      </c>
      <c r="GF27" s="143">
        <v>203</v>
      </c>
      <c r="GG27" s="143">
        <v>153</v>
      </c>
      <c r="GH27" s="143">
        <v>200</v>
      </c>
      <c r="GI27" s="143">
        <v>206</v>
      </c>
      <c r="GJ27" s="143">
        <v>160</v>
      </c>
      <c r="GK27" s="143">
        <v>160</v>
      </c>
      <c r="GL27" s="143">
        <v>137</v>
      </c>
      <c r="GM27" s="143">
        <v>115</v>
      </c>
      <c r="GN27" s="143">
        <v>126</v>
      </c>
      <c r="GO27" s="143">
        <v>132</v>
      </c>
      <c r="GP27" s="143">
        <v>122</v>
      </c>
      <c r="GQ27" s="143">
        <v>138</v>
      </c>
      <c r="GR27" s="143">
        <v>149</v>
      </c>
      <c r="GS27" s="143">
        <f t="shared" si="20"/>
        <v>149.83333333333334</v>
      </c>
      <c r="GT27" s="152"/>
      <c r="GU27" s="12" t="s">
        <v>33</v>
      </c>
      <c r="GV27" s="145" t="s">
        <v>30</v>
      </c>
      <c r="GW27" s="145">
        <f t="shared" si="21"/>
        <v>0.27777777777777779</v>
      </c>
      <c r="GX27" s="145">
        <f t="shared" si="21"/>
        <v>-0.32065217391304346</v>
      </c>
      <c r="GY27" s="145">
        <f t="shared" si="21"/>
        <v>0.16800000000000001</v>
      </c>
      <c r="GZ27" s="145">
        <f t="shared" si="21"/>
        <v>1.3698630136986301E-2</v>
      </c>
      <c r="HA27" s="145">
        <f t="shared" si="21"/>
        <v>0.21621621621621623</v>
      </c>
      <c r="HB27" s="145">
        <f t="shared" si="21"/>
        <v>5.5555555555555552E-2</v>
      </c>
      <c r="HC27" s="145">
        <f t="shared" si="21"/>
        <v>0.18421052631578946</v>
      </c>
      <c r="HD27" s="145">
        <f t="shared" si="21"/>
        <v>0.12444444444444444</v>
      </c>
      <c r="HE27" s="145">
        <f t="shared" si="21"/>
        <v>7.1146245059288543E-2</v>
      </c>
      <c r="HF27" s="145">
        <f t="shared" si="21"/>
        <v>-9.5940959409594101E-2</v>
      </c>
      <c r="HG27" s="145">
        <f t="shared" si="21"/>
        <v>-4.0816326530612242E-2</v>
      </c>
      <c r="HH27" s="145">
        <f t="shared" si="21"/>
        <v>-0.14042553191489363</v>
      </c>
      <c r="HI27" s="145">
        <f t="shared" si="21"/>
        <v>-9.9009900990099011E-3</v>
      </c>
      <c r="HJ27" s="145">
        <f t="shared" si="21"/>
        <v>-0.22500000000000001</v>
      </c>
      <c r="HK27" s="145">
        <f t="shared" si="21"/>
        <v>0.29032258064516131</v>
      </c>
      <c r="HL27" s="145">
        <f t="shared" si="21"/>
        <v>-0.22500000000000001</v>
      </c>
      <c r="HM27" s="145">
        <f t="shared" si="22"/>
        <v>0.10967741935483871</v>
      </c>
      <c r="HN27" s="145">
        <f t="shared" si="22"/>
        <v>0.21511627906976744</v>
      </c>
      <c r="HO27" s="145">
        <f t="shared" si="22"/>
        <v>0.25837320574162681</v>
      </c>
      <c r="HP27" s="145">
        <f t="shared" si="22"/>
        <v>0.16730038022813687</v>
      </c>
      <c r="HQ27" s="145">
        <f t="shared" si="22"/>
        <v>0.25407166123778502</v>
      </c>
      <c r="HR27" s="145">
        <f t="shared" si="22"/>
        <v>-9.0909090909090912E-2</v>
      </c>
      <c r="HS27" s="145">
        <f t="shared" si="22"/>
        <v>-0.14857142857142858</v>
      </c>
      <c r="HT27" s="145">
        <f t="shared" si="22"/>
        <v>5.3691275167785234E-2</v>
      </c>
      <c r="HU27" s="145">
        <f t="shared" si="22"/>
        <v>-1.2738853503184714E-2</v>
      </c>
      <c r="HV27" s="145">
        <f t="shared" si="22"/>
        <v>3.2258064516129032E-3</v>
      </c>
      <c r="HW27" s="145">
        <f t="shared" si="22"/>
        <v>4.8231511254019289E-2</v>
      </c>
      <c r="HX27" s="145">
        <f t="shared" si="22"/>
        <v>-0.30981595092024539</v>
      </c>
      <c r="HY27" s="145">
        <f t="shared" si="22"/>
        <v>0.16444444444444445</v>
      </c>
      <c r="HZ27" s="145">
        <f t="shared" si="22"/>
        <v>0.48091603053435117</v>
      </c>
      <c r="IA27" s="145">
        <f t="shared" si="22"/>
        <v>1.0309278350515464E-2</v>
      </c>
      <c r="IB27" s="145">
        <f t="shared" si="22"/>
        <v>2.5510204081632651E-3</v>
      </c>
      <c r="IC27" s="145">
        <f t="shared" si="23"/>
        <v>2.5445292620865142E-3</v>
      </c>
      <c r="ID27" s="145">
        <f t="shared" si="23"/>
        <v>-0.1548223350253807</v>
      </c>
      <c r="IE27" s="145">
        <f t="shared" si="23"/>
        <v>-7.8078078078078081E-2</v>
      </c>
      <c r="IF27" s="145">
        <f t="shared" si="23"/>
        <v>-0.13680781758957655</v>
      </c>
      <c r="IG27" s="145">
        <f t="shared" si="23"/>
        <v>0.13584905660377358</v>
      </c>
      <c r="IH27" s="145">
        <f t="shared" si="23"/>
        <v>-2.3255813953488372E-2</v>
      </c>
      <c r="II27" s="145">
        <f t="shared" si="23"/>
        <v>0.20408163265306123</v>
      </c>
      <c r="IJ27" s="145">
        <f t="shared" si="23"/>
        <v>-0.15536723163841809</v>
      </c>
      <c r="IK27" s="145">
        <f t="shared" si="23"/>
        <v>0.1705685618729097</v>
      </c>
      <c r="IL27" s="145">
        <f t="shared" si="23"/>
        <v>9.7142857142857142E-2</v>
      </c>
      <c r="IM27" s="145">
        <f t="shared" si="23"/>
        <v>0.12760416666666666</v>
      </c>
      <c r="IN27" s="145">
        <f t="shared" si="23"/>
        <v>-1.8475750577367205E-2</v>
      </c>
      <c r="IO27" s="145">
        <f t="shared" si="23"/>
        <v>0.22117647058823531</v>
      </c>
      <c r="IP27" s="145">
        <f t="shared" si="23"/>
        <v>-0.279383429672447</v>
      </c>
      <c r="IQ27" s="145">
        <f t="shared" si="23"/>
        <v>7.4866310160427801E-2</v>
      </c>
      <c r="IR27" s="145">
        <f t="shared" si="23"/>
        <v>-0.13184079601990051</v>
      </c>
      <c r="IS27" s="145">
        <f t="shared" si="24"/>
        <v>4.0114613180515762E-2</v>
      </c>
      <c r="IT27" s="145">
        <f t="shared" si="24"/>
        <v>-0.18181818181818182</v>
      </c>
      <c r="IU27" s="145">
        <f t="shared" si="24"/>
        <v>0.23232323232323232</v>
      </c>
      <c r="IV27" s="145">
        <f t="shared" si="24"/>
        <v>-0.19945355191256831</v>
      </c>
      <c r="IW27" s="145">
        <f t="shared" si="24"/>
        <v>0.20477815699658702</v>
      </c>
      <c r="IX27" s="145">
        <f t="shared" si="24"/>
        <v>0.26062322946175637</v>
      </c>
      <c r="IY27" s="145">
        <f t="shared" si="24"/>
        <v>4.2696629213483148E-2</v>
      </c>
      <c r="IZ27" s="145">
        <f t="shared" si="24"/>
        <v>9.6982758620689655E-2</v>
      </c>
      <c r="JA27" s="145">
        <f t="shared" si="24"/>
        <v>-0.1237721021611002</v>
      </c>
      <c r="JB27" s="145">
        <f t="shared" si="24"/>
        <v>-0.1547085201793722</v>
      </c>
      <c r="JC27" s="145">
        <f t="shared" si="24"/>
        <v>6.6312997347480113E-2</v>
      </c>
      <c r="JD27" s="145">
        <f t="shared" si="24"/>
        <v>-0.1417910447761194</v>
      </c>
      <c r="JE27" s="145">
        <f t="shared" si="24"/>
        <v>3.7681159420289857E-2</v>
      </c>
      <c r="JF27" s="145">
        <f t="shared" si="24"/>
        <v>-2.5139664804469275E-2</v>
      </c>
      <c r="JG27" s="145">
        <f t="shared" si="24"/>
        <v>3.151862464183381E-2</v>
      </c>
      <c r="JH27" s="145">
        <f t="shared" si="24"/>
        <v>-0.15277777777777779</v>
      </c>
      <c r="JI27" s="145">
        <f t="shared" si="25"/>
        <v>0.13442622950819672</v>
      </c>
      <c r="JJ27" s="145">
        <f t="shared" si="25"/>
        <v>0.30924855491329478</v>
      </c>
      <c r="JK27" s="145">
        <f t="shared" si="25"/>
        <v>5.518763796909492E-2</v>
      </c>
      <c r="JL27" s="145">
        <f t="shared" si="25"/>
        <v>-1.4644351464435146E-2</v>
      </c>
      <c r="JM27" s="145">
        <f t="shared" si="25"/>
        <v>-2.1231422505307855E-3</v>
      </c>
      <c r="JN27" s="145">
        <f t="shared" si="25"/>
        <v>-3.4042553191489362E-2</v>
      </c>
      <c r="JO27" s="145">
        <f t="shared" si="25"/>
        <v>-0.24669603524229075</v>
      </c>
      <c r="JP27" s="145">
        <f t="shared" si="25"/>
        <v>-9.0643274853801165E-2</v>
      </c>
      <c r="JQ27" s="145">
        <f t="shared" si="25"/>
        <v>-6.4308681672025719E-2</v>
      </c>
      <c r="JR27" s="145">
        <f t="shared" si="25"/>
        <v>-2.4054982817869417E-2</v>
      </c>
      <c r="JS27" s="145">
        <f t="shared" si="25"/>
        <v>-1.0563380281690141E-2</v>
      </c>
      <c r="JT27" s="145">
        <f t="shared" si="25"/>
        <v>-0.19572953736654805</v>
      </c>
      <c r="JU27" s="145">
        <f t="shared" si="25"/>
        <v>0.19469026548672566</v>
      </c>
      <c r="JV27" s="145">
        <f t="shared" si="25"/>
        <v>0.18888888888888888</v>
      </c>
      <c r="JW27" s="145">
        <f t="shared" si="25"/>
        <v>0.19626168224299065</v>
      </c>
      <c r="JX27" s="145">
        <f t="shared" si="25"/>
        <v>-4.1666666666666664E-2</v>
      </c>
      <c r="JY27" s="145">
        <f t="shared" si="26"/>
        <v>9.2391304347826081E-2</v>
      </c>
      <c r="JZ27" s="145">
        <f t="shared" si="26"/>
        <v>-9.950248756218906E-2</v>
      </c>
      <c r="KA27" s="145">
        <f t="shared" si="26"/>
        <v>-0.10497237569060773</v>
      </c>
      <c r="KB27" s="145">
        <f t="shared" si="26"/>
        <v>-3.0864197530864196E-2</v>
      </c>
      <c r="KC27" s="145">
        <f t="shared" si="26"/>
        <v>-5.7324840764331211E-2</v>
      </c>
      <c r="KD27" s="145">
        <f t="shared" si="26"/>
        <v>-0.23310810810810811</v>
      </c>
      <c r="KE27" s="145">
        <f t="shared" si="26"/>
        <v>0.40969162995594716</v>
      </c>
      <c r="KF27" s="145">
        <f t="shared" si="26"/>
        <v>-0.2</v>
      </c>
      <c r="KG27" s="145">
        <f t="shared" si="26"/>
        <v>1.5625E-2</v>
      </c>
      <c r="KH27" s="145">
        <f t="shared" si="26"/>
        <v>0.55384615384615388</v>
      </c>
      <c r="KI27" s="145">
        <f t="shared" si="26"/>
        <v>2.7227722772277228E-2</v>
      </c>
      <c r="KJ27" s="145">
        <f t="shared" si="26"/>
        <v>-3.614457831325301E-2</v>
      </c>
      <c r="KK27" s="145">
        <f t="shared" si="26"/>
        <v>1.2500000000000001E-2</v>
      </c>
      <c r="KL27" s="145">
        <f t="shared" si="26"/>
        <v>6.1728395061728392E-2</v>
      </c>
      <c r="KM27" s="145">
        <f t="shared" si="26"/>
        <v>-0.21627906976744185</v>
      </c>
      <c r="KN27" s="145">
        <f t="shared" si="26"/>
        <v>8.9020771513353122E-2</v>
      </c>
      <c r="KO27" s="145">
        <f t="shared" si="27"/>
        <v>-7.901907356948229E-2</v>
      </c>
      <c r="KP27" s="145">
        <f t="shared" si="27"/>
        <v>-0.21597633136094674</v>
      </c>
      <c r="KQ27" s="145">
        <f t="shared" si="27"/>
        <v>0.12075471698113208</v>
      </c>
      <c r="KR27" s="145">
        <f t="shared" si="27"/>
        <v>-0.2356902356902357</v>
      </c>
      <c r="KS27" s="145">
        <f t="shared" si="27"/>
        <v>0.20704845814977973</v>
      </c>
      <c r="KT27" s="145">
        <f t="shared" si="27"/>
        <v>0.48905109489051096</v>
      </c>
      <c r="KU27" s="145">
        <f t="shared" si="27"/>
        <v>9.8039215686274508E-2</v>
      </c>
      <c r="KV27" s="145">
        <f t="shared" si="27"/>
        <v>-6.25E-2</v>
      </c>
      <c r="KW27" s="145">
        <f t="shared" si="27"/>
        <v>4.0476190476190478E-2</v>
      </c>
      <c r="KX27" s="145">
        <f t="shared" si="27"/>
        <v>-0.2288329519450801</v>
      </c>
      <c r="KY27" s="145">
        <f t="shared" si="27"/>
        <v>0.18100890207715134</v>
      </c>
      <c r="KZ27" s="145">
        <f t="shared" si="27"/>
        <v>-0.11055276381909548</v>
      </c>
      <c r="LA27" s="145">
        <f t="shared" si="27"/>
        <v>-2.5423728813559324E-2</v>
      </c>
      <c r="LB27" s="145">
        <f t="shared" si="27"/>
        <v>-7.8260869565217397E-2</v>
      </c>
      <c r="LC27" s="145">
        <f t="shared" si="27"/>
        <v>6.6037735849056603E-2</v>
      </c>
      <c r="LD27" s="145">
        <f t="shared" si="27"/>
        <v>-0.11209439528023599</v>
      </c>
      <c r="LE27" s="145">
        <f t="shared" si="15"/>
        <v>2.3255813953488372E-2</v>
      </c>
      <c r="LF27" s="145">
        <f t="shared" si="15"/>
        <v>0.45779220779220781</v>
      </c>
      <c r="LG27" s="145">
        <f t="shared" si="15"/>
        <v>-7.3496659242761692E-2</v>
      </c>
      <c r="LH27" s="145">
        <f t="shared" si="15"/>
        <v>0.15625</v>
      </c>
      <c r="LI27" s="145">
        <f t="shared" si="15"/>
        <v>-8.7318087318087323E-2</v>
      </c>
      <c r="LJ27" s="145">
        <f t="shared" si="15"/>
        <v>-0.19362186788154898</v>
      </c>
      <c r="LK27" s="145">
        <f t="shared" si="15"/>
        <v>6.2146892655367235E-2</v>
      </c>
      <c r="LL27" s="145">
        <f t="shared" si="15"/>
        <v>-0.14627659574468085</v>
      </c>
      <c r="LM27" s="145">
        <f t="shared" si="15"/>
        <v>0.11214953271028037</v>
      </c>
      <c r="LN27" s="145">
        <f t="shared" si="15"/>
        <v>-7.5630252100840331E-2</v>
      </c>
      <c r="LO27" s="145">
        <f t="shared" si="15"/>
        <v>3.0303030303030304E-2</v>
      </c>
      <c r="LP27" s="145">
        <f t="shared" si="15"/>
        <v>-7.6470588235294124E-2</v>
      </c>
      <c r="LQ27" s="145">
        <f t="shared" si="15"/>
        <v>0.13375796178343949</v>
      </c>
      <c r="LR27" s="145">
        <f t="shared" si="15"/>
        <v>0.1797752808988764</v>
      </c>
      <c r="LS27" s="145">
        <f t="shared" si="15"/>
        <v>3.8095238095238099E-2</v>
      </c>
      <c r="LT27" s="145">
        <f t="shared" si="15"/>
        <v>0.11467889908256881</v>
      </c>
      <c r="LU27" s="145">
        <f t="shared" si="16"/>
        <v>-9.2592592592592587E-2</v>
      </c>
      <c r="LV27" s="145">
        <f t="shared" si="16"/>
        <v>-0.1111111111111111</v>
      </c>
      <c r="LW27" s="145">
        <f t="shared" si="16"/>
        <v>-8.673469387755102E-2</v>
      </c>
      <c r="LX27" s="145">
        <f t="shared" si="16"/>
        <v>-0.23463687150837989</v>
      </c>
      <c r="LY27" s="145">
        <f t="shared" si="16"/>
        <v>0.10583941605839416</v>
      </c>
      <c r="LZ27" s="145">
        <f t="shared" si="16"/>
        <v>-5.6105610561056105E-2</v>
      </c>
      <c r="MA27" s="145">
        <f t="shared" si="16"/>
        <v>-6.993006993006993E-3</v>
      </c>
      <c r="MB27" s="145">
        <f t="shared" si="16"/>
        <v>-5.6338028169014086E-2</v>
      </c>
      <c r="MC27" s="145">
        <f t="shared" si="16"/>
        <v>0.12686567164179105</v>
      </c>
      <c r="MD27" s="145">
        <f t="shared" si="16"/>
        <v>0.24503311258278146</v>
      </c>
      <c r="ME27" s="145">
        <f t="shared" si="16"/>
        <v>0.1276595744680851</v>
      </c>
      <c r="MF27" s="145">
        <f t="shared" si="16"/>
        <v>0.17216981132075471</v>
      </c>
      <c r="MG27" s="145">
        <f t="shared" si="16"/>
        <v>-0.15492957746478872</v>
      </c>
      <c r="MH27" s="145">
        <f t="shared" si="16"/>
        <v>-5.9523809523809521E-2</v>
      </c>
      <c r="MI27" s="145">
        <f t="shared" si="16"/>
        <v>0</v>
      </c>
      <c r="MJ27" s="145">
        <f t="shared" si="16"/>
        <v>-5.8227848101265821E-2</v>
      </c>
      <c r="MK27" s="145">
        <f t="shared" si="16"/>
        <v>-2.4193548387096774E-2</v>
      </c>
      <c r="ML27" s="145">
        <f t="shared" si="16"/>
        <v>-0.22865013774104684</v>
      </c>
      <c r="MM27" s="145">
        <f t="shared" si="16"/>
        <v>0.3</v>
      </c>
      <c r="MN27" s="145">
        <f t="shared" si="16"/>
        <v>-0.27747252747252749</v>
      </c>
      <c r="MO27" s="145">
        <f t="shared" si="16"/>
        <v>0.2509505703422053</v>
      </c>
      <c r="MP27" s="145">
        <f t="shared" si="16"/>
        <v>8.5106382978723402E-2</v>
      </c>
      <c r="MQ27" s="145">
        <f t="shared" si="16"/>
        <v>-0.2969187675070028</v>
      </c>
      <c r="MR27" s="145">
        <f t="shared" si="16"/>
        <v>1.9920318725099601E-2</v>
      </c>
      <c r="MS27" s="145">
        <f>(EZ27-EY27)/EY27</f>
        <v>2.6378896882494004E-2</v>
      </c>
      <c r="MT27" s="145">
        <f t="shared" si="17"/>
        <v>2.5700934579439252E-2</v>
      </c>
      <c r="MU27" s="145">
        <f t="shared" si="17"/>
        <v>-9.1836734693877556E-2</v>
      </c>
      <c r="MV27" s="145">
        <f t="shared" si="17"/>
        <v>-3.1578947368421054E-2</v>
      </c>
      <c r="MW27" s="145">
        <f t="shared" si="17"/>
        <v>9.3078758949880672E-2</v>
      </c>
      <c r="MX27" s="145">
        <f t="shared" si="17"/>
        <v>-0.10846560846560846</v>
      </c>
      <c r="MY27" s="145">
        <f t="shared" si="17"/>
        <v>6.4356435643564358E-2</v>
      </c>
      <c r="MZ27" s="145">
        <f t="shared" si="17"/>
        <v>-0.20238095238095238</v>
      </c>
      <c r="NA27" s="145">
        <f t="shared" si="17"/>
        <v>0.04</v>
      </c>
      <c r="NB27" s="145">
        <f t="shared" si="17"/>
        <v>0.125</v>
      </c>
      <c r="NC27" s="145">
        <f t="shared" si="17"/>
        <v>0</v>
      </c>
      <c r="ND27" s="145">
        <f t="shared" si="17"/>
        <v>-8.4010840108401083E-2</v>
      </c>
      <c r="NE27" s="145">
        <f t="shared" si="17"/>
        <v>-2.7855153203342618E-2</v>
      </c>
      <c r="NF27" s="145">
        <f t="shared" si="17"/>
        <v>-0.11145510835913312</v>
      </c>
      <c r="NG27" s="145">
        <f t="shared" si="17"/>
        <v>-7.6666666666666661E-2</v>
      </c>
      <c r="NH27" s="145">
        <f t="shared" si="17"/>
        <v>1.9607843137254902E-2</v>
      </c>
      <c r="NI27" s="145">
        <f t="shared" si="17"/>
        <v>-0.15471698113207547</v>
      </c>
      <c r="NJ27" s="145">
        <f t="shared" si="18"/>
        <v>0.16139240506329114</v>
      </c>
      <c r="NK27" s="145">
        <f t="shared" si="18"/>
        <v>-0.16605166051660517</v>
      </c>
      <c r="NL27" s="145">
        <f t="shared" si="18"/>
        <v>-0.24884792626728111</v>
      </c>
      <c r="NM27" s="145">
        <f t="shared" si="18"/>
        <v>3.9823008849557522E-2</v>
      </c>
      <c r="NN27" s="145">
        <f t="shared" si="18"/>
        <v>9.9601593625498003E-2</v>
      </c>
      <c r="NO27" s="145">
        <f t="shared" si="18"/>
        <v>-4.583333333333333E-2</v>
      </c>
      <c r="NP27" s="145">
        <f t="shared" si="18"/>
        <v>0</v>
      </c>
      <c r="NQ27" s="145">
        <f t="shared" si="18"/>
        <v>-0.26315789473684209</v>
      </c>
      <c r="NR27" s="145">
        <f t="shared" si="18"/>
        <v>-0.54471544715447151</v>
      </c>
      <c r="NS27" s="145">
        <f t="shared" si="18"/>
        <v>0.26785714285714285</v>
      </c>
      <c r="NT27" s="145">
        <f t="shared" si="18"/>
        <v>-0.10526315789473684</v>
      </c>
      <c r="NU27" s="145">
        <f t="shared" si="18"/>
        <v>-0.13432835820895522</v>
      </c>
      <c r="NV27" s="145">
        <f t="shared" si="18"/>
        <v>-1.5151515151515152E-2</v>
      </c>
      <c r="NW27" s="145">
        <f t="shared" si="18"/>
        <v>-3.937007874015748E-2</v>
      </c>
      <c r="NX27" s="145">
        <f t="shared" si="19"/>
        <v>-0.17592592592592593</v>
      </c>
      <c r="NY27" s="145">
        <f t="shared" si="19"/>
        <v>9.2436974789915971E-2</v>
      </c>
      <c r="NZ27" s="145">
        <f t="shared" si="19"/>
        <v>0.41379310344827586</v>
      </c>
      <c r="OA27" s="145">
        <f t="shared" si="19"/>
        <v>-0.32679738562091504</v>
      </c>
      <c r="OB27" s="145">
        <f t="shared" si="19"/>
        <v>0.23499999999999999</v>
      </c>
      <c r="OC27" s="145">
        <f t="shared" si="19"/>
        <v>2.9126213592233011E-2</v>
      </c>
      <c r="OD27" s="145">
        <f t="shared" si="19"/>
        <v>-0.28749999999999998</v>
      </c>
      <c r="OE27" s="145">
        <f t="shared" si="19"/>
        <v>0</v>
      </c>
      <c r="OF27" s="145">
        <f t="shared" si="19"/>
        <v>-0.16788321167883211</v>
      </c>
      <c r="OG27" s="145">
        <f t="shared" si="19"/>
        <v>-0.19130434782608696</v>
      </c>
      <c r="OH27" s="145">
        <f t="shared" si="19"/>
        <v>8.7301587301587297E-2</v>
      </c>
      <c r="OI27" s="145">
        <f t="shared" si="19"/>
        <v>4.5454545454545456E-2</v>
      </c>
      <c r="OJ27" s="145">
        <f t="shared" si="19"/>
        <v>-8.1967213114754092E-2</v>
      </c>
      <c r="OK27" s="145">
        <f t="shared" si="19"/>
        <v>0.11594202898550725</v>
      </c>
      <c r="OL27" s="145">
        <f t="shared" si="19"/>
        <v>7.3825503355704702E-2</v>
      </c>
    </row>
    <row r="28" spans="1:402" s="145" customFormat="1" ht="19.5" customHeight="1" x14ac:dyDescent="0.35">
      <c r="A28" s="12" t="s">
        <v>34</v>
      </c>
      <c r="B28" s="156">
        <f>'[1]Sept 07'!C11</f>
        <v>133</v>
      </c>
      <c r="C28" s="156">
        <f>'[1]Oct 07'!C11</f>
        <v>144</v>
      </c>
      <c r="D28" s="156">
        <f>'[1]Nov 07'!C11</f>
        <v>113</v>
      </c>
      <c r="E28" s="156">
        <f>'[1]Dec 07'!C11</f>
        <v>235</v>
      </c>
      <c r="F28" s="156">
        <f>'[1]Jan 08'!C11</f>
        <v>112</v>
      </c>
      <c r="G28" s="143">
        <f>'[1]Feb 08'!C11</f>
        <v>105</v>
      </c>
      <c r="H28" s="143">
        <f>'[1]Mar 08'!C11</f>
        <v>136</v>
      </c>
      <c r="I28" s="143">
        <v>121</v>
      </c>
      <c r="J28" s="143">
        <f>'[1]May 08'!C11</f>
        <v>162</v>
      </c>
      <c r="K28" s="143">
        <f>'[1]Jun 08'!C11</f>
        <v>149</v>
      </c>
      <c r="L28" s="143">
        <f>'[1]Jul 08'!C11</f>
        <v>125</v>
      </c>
      <c r="M28" s="143">
        <v>117</v>
      </c>
      <c r="N28" s="143">
        <v>160</v>
      </c>
      <c r="O28" s="143">
        <v>144</v>
      </c>
      <c r="P28" s="143">
        <v>103</v>
      </c>
      <c r="Q28" s="143">
        <v>244</v>
      </c>
      <c r="R28" s="143">
        <v>125</v>
      </c>
      <c r="S28" s="143">
        <v>93</v>
      </c>
      <c r="T28" s="143">
        <v>119</v>
      </c>
      <c r="U28" s="143">
        <v>105</v>
      </c>
      <c r="V28" s="143">
        <v>116</v>
      </c>
      <c r="W28" s="143">
        <v>128</v>
      </c>
      <c r="X28" s="143">
        <v>89</v>
      </c>
      <c r="Y28" s="143">
        <v>87</v>
      </c>
      <c r="Z28" s="143">
        <v>78</v>
      </c>
      <c r="AA28" s="143">
        <v>88</v>
      </c>
      <c r="AB28" s="143">
        <v>71</v>
      </c>
      <c r="AC28" s="143">
        <v>149</v>
      </c>
      <c r="AD28" s="143">
        <v>66</v>
      </c>
      <c r="AE28" s="143">
        <v>55</v>
      </c>
      <c r="AF28" s="143">
        <v>69</v>
      </c>
      <c r="AG28" s="143">
        <v>75</v>
      </c>
      <c r="AH28" s="143">
        <v>100</v>
      </c>
      <c r="AI28" s="143">
        <v>96</v>
      </c>
      <c r="AJ28" s="143">
        <v>66</v>
      </c>
      <c r="AK28" s="143">
        <v>72</v>
      </c>
      <c r="AL28" s="143">
        <v>65</v>
      </c>
      <c r="AM28" s="143">
        <v>64</v>
      </c>
      <c r="AN28" s="143">
        <v>55</v>
      </c>
      <c r="AO28" s="143">
        <v>52</v>
      </c>
      <c r="AP28" s="143">
        <v>72</v>
      </c>
      <c r="AQ28" s="143">
        <v>46</v>
      </c>
      <c r="AR28" s="143">
        <v>55</v>
      </c>
      <c r="AS28" s="143">
        <v>56</v>
      </c>
      <c r="AT28" s="143">
        <v>65</v>
      </c>
      <c r="AU28" s="143">
        <v>65</v>
      </c>
      <c r="AV28" s="143">
        <v>37</v>
      </c>
      <c r="AW28" s="143">
        <v>25</v>
      </c>
      <c r="AX28" s="143">
        <v>38</v>
      </c>
      <c r="AY28" s="143">
        <v>30</v>
      </c>
      <c r="AZ28" s="143">
        <v>26</v>
      </c>
      <c r="BA28" s="143">
        <v>68</v>
      </c>
      <c r="BB28" s="143">
        <v>36</v>
      </c>
      <c r="BC28" s="143">
        <v>20</v>
      </c>
      <c r="BD28" s="143">
        <v>17</v>
      </c>
      <c r="BE28" s="143">
        <v>21</v>
      </c>
      <c r="BF28" s="143">
        <v>35</v>
      </c>
      <c r="BG28" s="143">
        <v>28</v>
      </c>
      <c r="BH28" s="143">
        <v>24</v>
      </c>
      <c r="BI28" s="143">
        <v>24</v>
      </c>
      <c r="BJ28" s="143">
        <v>31</v>
      </c>
      <c r="BK28" s="143">
        <v>24</v>
      </c>
      <c r="BL28" s="143">
        <v>18</v>
      </c>
      <c r="BM28" s="143">
        <v>62</v>
      </c>
      <c r="BN28" s="143">
        <v>26</v>
      </c>
      <c r="BO28" s="143">
        <v>21</v>
      </c>
      <c r="BP28" s="143">
        <v>17</v>
      </c>
      <c r="BQ28" s="143">
        <v>26</v>
      </c>
      <c r="BR28" s="143">
        <v>27</v>
      </c>
      <c r="BS28" s="143">
        <v>24</v>
      </c>
      <c r="BT28" s="143">
        <v>21</v>
      </c>
      <c r="BU28" s="143">
        <v>28</v>
      </c>
      <c r="BV28" s="143">
        <v>29</v>
      </c>
      <c r="BW28" s="143">
        <v>23</v>
      </c>
      <c r="BX28" s="143">
        <v>33</v>
      </c>
      <c r="BY28" s="143">
        <v>69</v>
      </c>
      <c r="BZ28" s="143">
        <v>36</v>
      </c>
      <c r="CA28" s="143">
        <v>34</v>
      </c>
      <c r="CB28" s="143">
        <v>48</v>
      </c>
      <c r="CC28" s="143">
        <v>48</v>
      </c>
      <c r="CD28" s="143">
        <v>73</v>
      </c>
      <c r="CE28" s="143">
        <v>63</v>
      </c>
      <c r="CF28" s="143">
        <v>45</v>
      </c>
      <c r="CG28" s="143">
        <v>41</v>
      </c>
      <c r="CH28" s="143">
        <v>63</v>
      </c>
      <c r="CI28" s="143">
        <v>52</v>
      </c>
      <c r="CJ28" s="143">
        <v>40</v>
      </c>
      <c r="CK28" s="143">
        <v>87</v>
      </c>
      <c r="CL28" s="143">
        <v>37</v>
      </c>
      <c r="CM28" s="143">
        <v>36</v>
      </c>
      <c r="CN28" s="143">
        <v>38</v>
      </c>
      <c r="CO28" s="143">
        <v>48</v>
      </c>
      <c r="CP28" s="143">
        <v>48</v>
      </c>
      <c r="CQ28" s="143">
        <v>66</v>
      </c>
      <c r="CR28" s="143">
        <v>42</v>
      </c>
      <c r="CS28" s="143">
        <v>40</v>
      </c>
      <c r="CT28" s="143">
        <v>40</v>
      </c>
      <c r="CU28" s="143">
        <v>33</v>
      </c>
      <c r="CV28" s="143">
        <v>36</v>
      </c>
      <c r="CW28" s="143">
        <v>77</v>
      </c>
      <c r="CX28" s="143">
        <v>23</v>
      </c>
      <c r="CY28" s="143">
        <v>31</v>
      </c>
      <c r="CZ28" s="143">
        <v>38</v>
      </c>
      <c r="DA28" s="143">
        <v>52</v>
      </c>
      <c r="DB28" s="143">
        <v>43</v>
      </c>
      <c r="DC28" s="143">
        <v>74</v>
      </c>
      <c r="DD28" s="143">
        <v>56</v>
      </c>
      <c r="DE28" s="143">
        <v>37</v>
      </c>
      <c r="DF28" s="143">
        <v>37</v>
      </c>
      <c r="DG28" s="143">
        <v>39</v>
      </c>
      <c r="DH28" s="143">
        <v>27</v>
      </c>
      <c r="DI28" s="143">
        <v>73</v>
      </c>
      <c r="DJ28" s="143">
        <v>36</v>
      </c>
      <c r="DK28" s="143">
        <v>21</v>
      </c>
      <c r="DL28" s="143">
        <v>32</v>
      </c>
      <c r="DM28" s="143">
        <v>45</v>
      </c>
      <c r="DN28" s="143">
        <v>50</v>
      </c>
      <c r="DO28" s="143">
        <v>51</v>
      </c>
      <c r="DP28" s="143">
        <v>41</v>
      </c>
      <c r="DQ28" s="143">
        <v>33</v>
      </c>
      <c r="DR28" s="143">
        <v>36</v>
      </c>
      <c r="DS28" s="143">
        <v>30</v>
      </c>
      <c r="DT28" s="143">
        <v>27</v>
      </c>
      <c r="DU28" s="143">
        <v>52</v>
      </c>
      <c r="DV28" s="143">
        <v>28</v>
      </c>
      <c r="DW28" s="143">
        <v>31</v>
      </c>
      <c r="DX28" s="143">
        <v>25</v>
      </c>
      <c r="DY28" s="143">
        <v>26</v>
      </c>
      <c r="DZ28" s="143">
        <v>33</v>
      </c>
      <c r="EA28" s="143">
        <v>49</v>
      </c>
      <c r="EB28" s="143">
        <v>33</v>
      </c>
      <c r="EC28" s="143">
        <v>21</v>
      </c>
      <c r="ED28" s="143">
        <v>26</v>
      </c>
      <c r="EE28" s="143">
        <v>24</v>
      </c>
      <c r="EF28" s="143">
        <v>18</v>
      </c>
      <c r="EG28" s="143">
        <v>59</v>
      </c>
      <c r="EH28" s="143">
        <v>27</v>
      </c>
      <c r="EI28" s="143">
        <v>12</v>
      </c>
      <c r="EJ28" s="143">
        <v>25</v>
      </c>
      <c r="EK28" s="143">
        <v>31</v>
      </c>
      <c r="EL28" s="143">
        <v>15</v>
      </c>
      <c r="EM28" s="143">
        <v>33</v>
      </c>
      <c r="EN28" s="143">
        <v>39</v>
      </c>
      <c r="EO28" s="143">
        <v>30</v>
      </c>
      <c r="EP28" s="143">
        <v>17</v>
      </c>
      <c r="EQ28" s="143">
        <v>15</v>
      </c>
      <c r="ER28" s="143">
        <v>13</v>
      </c>
      <c r="ES28" s="143">
        <v>33</v>
      </c>
      <c r="ET28" s="143">
        <v>14</v>
      </c>
      <c r="EU28" s="143">
        <v>8</v>
      </c>
      <c r="EV28" s="143">
        <v>14</v>
      </c>
      <c r="EW28" s="143">
        <v>16</v>
      </c>
      <c r="EX28" s="143">
        <v>22</v>
      </c>
      <c r="EY28" s="143">
        <v>8</v>
      </c>
      <c r="EZ28" s="143">
        <v>15</v>
      </c>
      <c r="FA28" s="143">
        <v>8</v>
      </c>
      <c r="FB28" s="143">
        <v>11</v>
      </c>
      <c r="FC28" s="143">
        <v>9</v>
      </c>
      <c r="FD28" s="143">
        <v>9</v>
      </c>
      <c r="FE28" s="143">
        <v>15</v>
      </c>
      <c r="FF28" s="143">
        <v>11</v>
      </c>
      <c r="FG28" s="143">
        <v>2</v>
      </c>
      <c r="FH28" s="143">
        <v>4</v>
      </c>
      <c r="FI28" s="143">
        <v>3</v>
      </c>
      <c r="FJ28" s="143">
        <v>7</v>
      </c>
      <c r="FK28" s="143">
        <v>6</v>
      </c>
      <c r="FL28" s="143">
        <v>3</v>
      </c>
      <c r="FM28" s="143">
        <v>10</v>
      </c>
      <c r="FN28" s="143">
        <v>5</v>
      </c>
      <c r="FO28" s="143">
        <v>5</v>
      </c>
      <c r="FP28" s="143">
        <v>4</v>
      </c>
      <c r="FQ28" s="143">
        <v>10</v>
      </c>
      <c r="FR28" s="143">
        <v>5</v>
      </c>
      <c r="FS28" s="143">
        <v>3</v>
      </c>
      <c r="FT28" s="143">
        <v>4</v>
      </c>
      <c r="FU28" s="143">
        <v>6</v>
      </c>
      <c r="FV28" s="143">
        <v>5</v>
      </c>
      <c r="FW28" s="143">
        <v>6</v>
      </c>
      <c r="FX28" s="143">
        <v>6</v>
      </c>
      <c r="FY28" s="143">
        <v>19</v>
      </c>
      <c r="FZ28" s="143">
        <v>19</v>
      </c>
      <c r="GA28" s="143">
        <v>17</v>
      </c>
      <c r="GB28" s="143">
        <v>21</v>
      </c>
      <c r="GC28" s="143">
        <v>39</v>
      </c>
      <c r="GD28" s="143">
        <v>15</v>
      </c>
      <c r="GE28" s="143">
        <v>8</v>
      </c>
      <c r="GF28" s="143">
        <v>11</v>
      </c>
      <c r="GG28" s="143">
        <v>13</v>
      </c>
      <c r="GH28" s="143">
        <v>7</v>
      </c>
      <c r="GI28" s="143">
        <v>10</v>
      </c>
      <c r="GJ28" s="143">
        <v>10</v>
      </c>
      <c r="GK28" s="143">
        <v>9</v>
      </c>
      <c r="GL28" s="143">
        <v>10</v>
      </c>
      <c r="GM28" s="143">
        <v>6</v>
      </c>
      <c r="GN28" s="143">
        <v>7</v>
      </c>
      <c r="GO28" s="143">
        <v>33</v>
      </c>
      <c r="GP28" s="143">
        <v>4</v>
      </c>
      <c r="GQ28" s="143">
        <v>7</v>
      </c>
      <c r="GR28" s="143">
        <v>11</v>
      </c>
      <c r="GS28" s="143">
        <f t="shared" si="20"/>
        <v>10.583333333333334</v>
      </c>
      <c r="GT28" s="152"/>
      <c r="GU28" s="12" t="s">
        <v>34</v>
      </c>
      <c r="GV28" s="145" t="s">
        <v>30</v>
      </c>
      <c r="GW28" s="145">
        <f t="shared" si="21"/>
        <v>8.2706766917293228E-2</v>
      </c>
      <c r="GX28" s="145">
        <f t="shared" si="21"/>
        <v>-0.21527777777777779</v>
      </c>
      <c r="GY28" s="145">
        <f t="shared" si="21"/>
        <v>1.0796460176991149</v>
      </c>
      <c r="GZ28" s="145">
        <f t="shared" si="21"/>
        <v>-0.52340425531914891</v>
      </c>
      <c r="HA28" s="145">
        <f t="shared" si="21"/>
        <v>-6.25E-2</v>
      </c>
      <c r="HB28" s="145">
        <f t="shared" si="21"/>
        <v>0.29523809523809524</v>
      </c>
      <c r="HC28" s="145">
        <f t="shared" si="21"/>
        <v>-0.11029411764705882</v>
      </c>
      <c r="HD28" s="145">
        <f t="shared" si="21"/>
        <v>0.33884297520661155</v>
      </c>
      <c r="HE28" s="145">
        <f t="shared" si="21"/>
        <v>-8.0246913580246909E-2</v>
      </c>
      <c r="HF28" s="145">
        <f t="shared" si="21"/>
        <v>-0.16107382550335569</v>
      </c>
      <c r="HG28" s="145">
        <f t="shared" si="21"/>
        <v>-6.4000000000000001E-2</v>
      </c>
      <c r="HH28" s="145">
        <f t="shared" si="21"/>
        <v>0.36752136752136755</v>
      </c>
      <c r="HI28" s="145">
        <f t="shared" si="21"/>
        <v>-0.1</v>
      </c>
      <c r="HJ28" s="145">
        <f t="shared" si="21"/>
        <v>-0.28472222222222221</v>
      </c>
      <c r="HK28" s="145">
        <f t="shared" si="21"/>
        <v>1.3689320388349515</v>
      </c>
      <c r="HL28" s="145">
        <f t="shared" si="21"/>
        <v>-0.48770491803278687</v>
      </c>
      <c r="HM28" s="145">
        <f t="shared" si="22"/>
        <v>-0.25600000000000001</v>
      </c>
      <c r="HN28" s="145">
        <f t="shared" si="22"/>
        <v>0.27956989247311825</v>
      </c>
      <c r="HO28" s="145">
        <f t="shared" si="22"/>
        <v>-0.11764705882352941</v>
      </c>
      <c r="HP28" s="145">
        <f t="shared" si="22"/>
        <v>0.10476190476190476</v>
      </c>
      <c r="HQ28" s="145">
        <f t="shared" si="22"/>
        <v>0.10344827586206896</v>
      </c>
      <c r="HR28" s="145">
        <f t="shared" si="22"/>
        <v>-0.3046875</v>
      </c>
      <c r="HS28" s="145">
        <f t="shared" si="22"/>
        <v>-2.247191011235955E-2</v>
      </c>
      <c r="HT28" s="145">
        <f t="shared" si="22"/>
        <v>-0.10344827586206896</v>
      </c>
      <c r="HU28" s="145">
        <f t="shared" si="22"/>
        <v>0.12820512820512819</v>
      </c>
      <c r="HV28" s="145">
        <f t="shared" si="22"/>
        <v>-0.19318181818181818</v>
      </c>
      <c r="HW28" s="145">
        <f t="shared" si="22"/>
        <v>1.0985915492957747</v>
      </c>
      <c r="HX28" s="145">
        <f t="shared" si="22"/>
        <v>-0.55704697986577179</v>
      </c>
      <c r="HY28" s="145">
        <f t="shared" si="22"/>
        <v>-0.16666666666666666</v>
      </c>
      <c r="HZ28" s="145">
        <f t="shared" si="22"/>
        <v>0.25454545454545452</v>
      </c>
      <c r="IA28" s="145">
        <f t="shared" si="22"/>
        <v>8.6956521739130432E-2</v>
      </c>
      <c r="IB28" s="145">
        <f t="shared" si="22"/>
        <v>0.33333333333333331</v>
      </c>
      <c r="IC28" s="145">
        <f t="shared" si="23"/>
        <v>-0.04</v>
      </c>
      <c r="ID28" s="145">
        <f t="shared" si="23"/>
        <v>-0.3125</v>
      </c>
      <c r="IE28" s="145">
        <f t="shared" si="23"/>
        <v>9.0909090909090912E-2</v>
      </c>
      <c r="IF28" s="145">
        <f t="shared" si="23"/>
        <v>-9.7222222222222224E-2</v>
      </c>
      <c r="IG28" s="145">
        <f t="shared" si="23"/>
        <v>-1.5384615384615385E-2</v>
      </c>
      <c r="IH28" s="145">
        <f t="shared" si="23"/>
        <v>-0.140625</v>
      </c>
      <c r="II28" s="145">
        <f t="shared" si="23"/>
        <v>-5.4545454545454543E-2</v>
      </c>
      <c r="IJ28" s="145">
        <f t="shared" si="23"/>
        <v>0.38461538461538464</v>
      </c>
      <c r="IK28" s="145">
        <f t="shared" si="23"/>
        <v>-0.3611111111111111</v>
      </c>
      <c r="IL28" s="145">
        <f t="shared" si="23"/>
        <v>0.19565217391304349</v>
      </c>
      <c r="IM28" s="145">
        <f t="shared" si="23"/>
        <v>1.8181818181818181E-2</v>
      </c>
      <c r="IN28" s="145">
        <f t="shared" si="23"/>
        <v>0.16071428571428573</v>
      </c>
      <c r="IO28" s="145">
        <f t="shared" si="23"/>
        <v>0</v>
      </c>
      <c r="IP28" s="145">
        <f t="shared" si="23"/>
        <v>-0.43076923076923079</v>
      </c>
      <c r="IQ28" s="145">
        <f t="shared" si="23"/>
        <v>-0.32432432432432434</v>
      </c>
      <c r="IR28" s="145">
        <f t="shared" si="23"/>
        <v>0.52</v>
      </c>
      <c r="IS28" s="145">
        <f t="shared" si="24"/>
        <v>-0.21052631578947367</v>
      </c>
      <c r="IT28" s="145">
        <f t="shared" si="24"/>
        <v>-0.13333333333333333</v>
      </c>
      <c r="IU28" s="145">
        <f t="shared" si="24"/>
        <v>1.6153846153846154</v>
      </c>
      <c r="IV28" s="145">
        <f t="shared" si="24"/>
        <v>-0.47058823529411764</v>
      </c>
      <c r="IW28" s="145">
        <f t="shared" si="24"/>
        <v>-0.44444444444444442</v>
      </c>
      <c r="IX28" s="145">
        <f t="shared" si="24"/>
        <v>-0.15</v>
      </c>
      <c r="IY28" s="145">
        <f t="shared" si="24"/>
        <v>0.23529411764705882</v>
      </c>
      <c r="IZ28" s="145">
        <f t="shared" si="24"/>
        <v>0.66666666666666663</v>
      </c>
      <c r="JA28" s="145">
        <f t="shared" si="24"/>
        <v>-0.2</v>
      </c>
      <c r="JB28" s="145">
        <f t="shared" si="24"/>
        <v>-0.14285714285714285</v>
      </c>
      <c r="JC28" s="145">
        <f t="shared" si="24"/>
        <v>0</v>
      </c>
      <c r="JD28" s="145">
        <f t="shared" si="24"/>
        <v>0.29166666666666669</v>
      </c>
      <c r="JE28" s="145">
        <f t="shared" si="24"/>
        <v>-0.22580645161290322</v>
      </c>
      <c r="JF28" s="145">
        <f t="shared" si="24"/>
        <v>-0.25</v>
      </c>
      <c r="JG28" s="145">
        <f t="shared" si="24"/>
        <v>2.4444444444444446</v>
      </c>
      <c r="JH28" s="145">
        <f t="shared" si="24"/>
        <v>-0.58064516129032262</v>
      </c>
      <c r="JI28" s="145">
        <f t="shared" si="25"/>
        <v>-0.19230769230769232</v>
      </c>
      <c r="JJ28" s="145">
        <f t="shared" si="25"/>
        <v>-0.19047619047619047</v>
      </c>
      <c r="JK28" s="145">
        <f t="shared" si="25"/>
        <v>0.52941176470588236</v>
      </c>
      <c r="JL28" s="145">
        <f t="shared" si="25"/>
        <v>3.8461538461538464E-2</v>
      </c>
      <c r="JM28" s="145">
        <f t="shared" si="25"/>
        <v>-0.1111111111111111</v>
      </c>
      <c r="JN28" s="145">
        <f t="shared" si="25"/>
        <v>-0.125</v>
      </c>
      <c r="JO28" s="145">
        <f t="shared" si="25"/>
        <v>0.33333333333333331</v>
      </c>
      <c r="JP28" s="145">
        <f t="shared" si="25"/>
        <v>3.5714285714285712E-2</v>
      </c>
      <c r="JQ28" s="145">
        <f t="shared" si="25"/>
        <v>-0.20689655172413793</v>
      </c>
      <c r="JR28" s="145">
        <f t="shared" si="25"/>
        <v>0.43478260869565216</v>
      </c>
      <c r="JS28" s="145">
        <f t="shared" si="25"/>
        <v>1.0909090909090908</v>
      </c>
      <c r="JT28" s="145">
        <f t="shared" si="25"/>
        <v>-0.47826086956521741</v>
      </c>
      <c r="JU28" s="145">
        <f t="shared" si="25"/>
        <v>-5.5555555555555552E-2</v>
      </c>
      <c r="JV28" s="145">
        <f t="shared" si="25"/>
        <v>0.41176470588235292</v>
      </c>
      <c r="JW28" s="145">
        <f t="shared" si="25"/>
        <v>0</v>
      </c>
      <c r="JX28" s="145">
        <f t="shared" si="25"/>
        <v>0.52083333333333337</v>
      </c>
      <c r="JY28" s="145">
        <f t="shared" si="26"/>
        <v>-0.13698630136986301</v>
      </c>
      <c r="JZ28" s="145">
        <f t="shared" si="26"/>
        <v>-0.2857142857142857</v>
      </c>
      <c r="KA28" s="145">
        <f t="shared" si="26"/>
        <v>-8.8888888888888892E-2</v>
      </c>
      <c r="KB28" s="145">
        <f t="shared" si="26"/>
        <v>0.53658536585365857</v>
      </c>
      <c r="KC28" s="145">
        <f t="shared" si="26"/>
        <v>-0.17460317460317459</v>
      </c>
      <c r="KD28" s="145">
        <f t="shared" si="26"/>
        <v>-0.23076923076923078</v>
      </c>
      <c r="KE28" s="145">
        <f t="shared" si="26"/>
        <v>1.175</v>
      </c>
      <c r="KF28" s="145">
        <f t="shared" si="26"/>
        <v>-0.57471264367816088</v>
      </c>
      <c r="KG28" s="145">
        <f t="shared" si="26"/>
        <v>-2.7027027027027029E-2</v>
      </c>
      <c r="KH28" s="145">
        <f t="shared" si="26"/>
        <v>5.5555555555555552E-2</v>
      </c>
      <c r="KI28" s="145">
        <f t="shared" si="26"/>
        <v>0.26315789473684209</v>
      </c>
      <c r="KJ28" s="145">
        <f t="shared" si="26"/>
        <v>0</v>
      </c>
      <c r="KK28" s="145">
        <f t="shared" si="26"/>
        <v>0.375</v>
      </c>
      <c r="KL28" s="145">
        <f t="shared" si="26"/>
        <v>-0.36363636363636365</v>
      </c>
      <c r="KM28" s="145">
        <f t="shared" si="26"/>
        <v>-4.7619047619047616E-2</v>
      </c>
      <c r="KN28" s="145">
        <f t="shared" si="26"/>
        <v>0</v>
      </c>
      <c r="KO28" s="145">
        <f t="shared" si="27"/>
        <v>-0.17499999999999999</v>
      </c>
      <c r="KP28" s="145">
        <f t="shared" si="27"/>
        <v>9.0909090909090912E-2</v>
      </c>
      <c r="KQ28" s="145">
        <f t="shared" si="27"/>
        <v>1.1388888888888888</v>
      </c>
      <c r="KR28" s="145">
        <f t="shared" si="27"/>
        <v>-0.70129870129870131</v>
      </c>
      <c r="KS28" s="145">
        <f t="shared" si="27"/>
        <v>0.34782608695652173</v>
      </c>
      <c r="KT28" s="145">
        <f t="shared" si="27"/>
        <v>0.22580645161290322</v>
      </c>
      <c r="KU28" s="145">
        <f t="shared" si="27"/>
        <v>0.36842105263157893</v>
      </c>
      <c r="KV28" s="145">
        <f t="shared" si="27"/>
        <v>-0.17307692307692307</v>
      </c>
      <c r="KW28" s="145">
        <f t="shared" si="27"/>
        <v>0.72093023255813948</v>
      </c>
      <c r="KX28" s="145">
        <f t="shared" si="27"/>
        <v>-0.24324324324324326</v>
      </c>
      <c r="KY28" s="145">
        <f t="shared" si="27"/>
        <v>-0.3392857142857143</v>
      </c>
      <c r="KZ28" s="145">
        <f t="shared" si="27"/>
        <v>0</v>
      </c>
      <c r="LA28" s="145">
        <f t="shared" si="27"/>
        <v>5.4054054054054057E-2</v>
      </c>
      <c r="LB28" s="145">
        <f t="shared" si="27"/>
        <v>-0.30769230769230771</v>
      </c>
      <c r="LC28" s="145">
        <f t="shared" si="27"/>
        <v>1.7037037037037037</v>
      </c>
      <c r="LD28" s="145">
        <f t="shared" si="27"/>
        <v>-0.50684931506849318</v>
      </c>
      <c r="LE28" s="145">
        <f t="shared" si="15"/>
        <v>-0.41666666666666669</v>
      </c>
      <c r="LF28" s="145">
        <f t="shared" si="15"/>
        <v>0.52380952380952384</v>
      </c>
      <c r="LG28" s="145">
        <f t="shared" si="15"/>
        <v>0.40625</v>
      </c>
      <c r="LH28" s="145">
        <f t="shared" si="15"/>
        <v>0.1111111111111111</v>
      </c>
      <c r="LI28" s="145">
        <f t="shared" si="15"/>
        <v>0.02</v>
      </c>
      <c r="LJ28" s="145">
        <f t="shared" si="15"/>
        <v>-0.19607843137254902</v>
      </c>
      <c r="LK28" s="145">
        <f t="shared" si="15"/>
        <v>-0.1951219512195122</v>
      </c>
      <c r="LL28" s="145">
        <f t="shared" si="15"/>
        <v>9.0909090909090912E-2</v>
      </c>
      <c r="LM28" s="145">
        <f t="shared" si="15"/>
        <v>-0.16666666666666666</v>
      </c>
      <c r="LN28" s="145">
        <f t="shared" si="15"/>
        <v>-0.1</v>
      </c>
      <c r="LO28" s="145">
        <f t="shared" si="15"/>
        <v>0.92592592592592593</v>
      </c>
      <c r="LP28" s="145">
        <f t="shared" si="15"/>
        <v>-0.46153846153846156</v>
      </c>
      <c r="LQ28" s="145">
        <f t="shared" si="15"/>
        <v>0.10714285714285714</v>
      </c>
      <c r="LR28" s="145">
        <f t="shared" si="15"/>
        <v>-0.19354838709677419</v>
      </c>
      <c r="LS28" s="145">
        <f t="shared" si="15"/>
        <v>0.04</v>
      </c>
      <c r="LT28" s="145">
        <f t="shared" si="15"/>
        <v>0.26923076923076922</v>
      </c>
      <c r="LU28" s="145">
        <f t="shared" si="16"/>
        <v>0.48484848484848486</v>
      </c>
      <c r="LV28" s="145">
        <f t="shared" si="16"/>
        <v>-0.32653061224489793</v>
      </c>
      <c r="LW28" s="145">
        <f t="shared" si="16"/>
        <v>-0.36363636363636365</v>
      </c>
      <c r="LX28" s="145">
        <f t="shared" si="16"/>
        <v>0.23809523809523808</v>
      </c>
      <c r="LY28" s="145">
        <f t="shared" si="16"/>
        <v>-7.6923076923076927E-2</v>
      </c>
      <c r="LZ28" s="145">
        <f t="shared" si="16"/>
        <v>-0.25</v>
      </c>
      <c r="MA28" s="145">
        <f t="shared" si="16"/>
        <v>2.2777777777777777</v>
      </c>
      <c r="MB28" s="145">
        <f t="shared" si="16"/>
        <v>-0.5423728813559322</v>
      </c>
      <c r="MC28" s="145">
        <f t="shared" si="16"/>
        <v>-0.55555555555555558</v>
      </c>
      <c r="MD28" s="145">
        <f t="shared" si="16"/>
        <v>1.0833333333333333</v>
      </c>
      <c r="ME28" s="145">
        <f t="shared" si="16"/>
        <v>0.24</v>
      </c>
      <c r="MF28" s="145">
        <f t="shared" si="16"/>
        <v>-0.5161290322580645</v>
      </c>
      <c r="MG28" s="145">
        <f t="shared" si="16"/>
        <v>1.2</v>
      </c>
      <c r="MH28" s="145">
        <f t="shared" si="16"/>
        <v>0.18181818181818182</v>
      </c>
      <c r="MI28" s="145">
        <f t="shared" si="16"/>
        <v>-0.23076923076923078</v>
      </c>
      <c r="MJ28" s="145">
        <f t="shared" si="16"/>
        <v>-0.43333333333333335</v>
      </c>
      <c r="MK28" s="145">
        <f t="shared" si="16"/>
        <v>-0.11764705882352941</v>
      </c>
      <c r="ML28" s="145">
        <f t="shared" si="16"/>
        <v>-0.13333333333333333</v>
      </c>
      <c r="MM28" s="145">
        <f t="shared" si="16"/>
        <v>1.5384615384615385</v>
      </c>
      <c r="MN28" s="145">
        <f t="shared" si="16"/>
        <v>-0.5757575757575758</v>
      </c>
      <c r="MO28" s="145">
        <f t="shared" si="16"/>
        <v>-0.42857142857142855</v>
      </c>
      <c r="MP28" s="145">
        <f t="shared" si="16"/>
        <v>0.75</v>
      </c>
      <c r="MQ28" s="145">
        <f t="shared" si="16"/>
        <v>0.14285714285714285</v>
      </c>
      <c r="MR28" s="145">
        <f t="shared" si="16"/>
        <v>0.375</v>
      </c>
      <c r="MS28" s="145">
        <f>(EZ28-EY28)/EY28</f>
        <v>0.875</v>
      </c>
      <c r="MT28" s="145">
        <f t="shared" si="17"/>
        <v>0.46666666666666667</v>
      </c>
      <c r="MU28" s="145">
        <f t="shared" si="17"/>
        <v>-0.875</v>
      </c>
      <c r="MV28" s="145">
        <f t="shared" si="17"/>
        <v>0.27272727272727271</v>
      </c>
      <c r="MW28" s="145">
        <f t="shared" si="17"/>
        <v>-0.22222222222222221</v>
      </c>
      <c r="MX28" s="145">
        <f t="shared" si="17"/>
        <v>0</v>
      </c>
      <c r="MY28" s="145">
        <f t="shared" si="17"/>
        <v>0.4</v>
      </c>
      <c r="MZ28" s="145">
        <f t="shared" si="17"/>
        <v>-0.36363636363636365</v>
      </c>
      <c r="NA28" s="145">
        <f t="shared" si="17"/>
        <v>-4.5</v>
      </c>
      <c r="NB28" s="145">
        <f t="shared" si="17"/>
        <v>0.5</v>
      </c>
      <c r="NC28" s="145">
        <f t="shared" si="17"/>
        <v>-0.33333333333333331</v>
      </c>
      <c r="ND28" s="145">
        <f t="shared" si="17"/>
        <v>0.5714285714285714</v>
      </c>
      <c r="NE28" s="145">
        <f t="shared" si="17"/>
        <v>-0.16666666666666666</v>
      </c>
      <c r="NF28" s="145">
        <f t="shared" si="17"/>
        <v>-1</v>
      </c>
      <c r="NG28" s="145">
        <f t="shared" si="17"/>
        <v>0.7</v>
      </c>
      <c r="NH28" s="145">
        <f t="shared" si="17"/>
        <v>-1</v>
      </c>
      <c r="NI28" s="145">
        <f t="shared" si="17"/>
        <v>0</v>
      </c>
      <c r="NJ28" s="145">
        <f t="shared" si="18"/>
        <v>-0.25</v>
      </c>
      <c r="NK28" s="145">
        <f t="shared" si="18"/>
        <v>0.6</v>
      </c>
      <c r="NL28" s="145">
        <f t="shared" si="18"/>
        <v>-1</v>
      </c>
      <c r="NM28" s="145">
        <f t="shared" si="18"/>
        <v>-0.66666666666666663</v>
      </c>
      <c r="NN28" s="145">
        <f t="shared" si="18"/>
        <v>0.25</v>
      </c>
      <c r="NO28" s="145">
        <f t="shared" si="18"/>
        <v>0.33333333333333331</v>
      </c>
      <c r="NP28" s="145">
        <f t="shared" si="18"/>
        <v>-0.2</v>
      </c>
      <c r="NQ28" s="145">
        <f t="shared" si="18"/>
        <v>0.16666666666666666</v>
      </c>
      <c r="NR28" s="145">
        <f t="shared" si="18"/>
        <v>0</v>
      </c>
      <c r="NS28" s="145">
        <f t="shared" si="18"/>
        <v>0.68421052631578949</v>
      </c>
      <c r="NT28" s="145">
        <f t="shared" si="18"/>
        <v>0</v>
      </c>
      <c r="NU28" s="145">
        <f t="shared" si="18"/>
        <v>-0.11764705882352941</v>
      </c>
      <c r="NV28" s="145">
        <f t="shared" si="18"/>
        <v>0.19047619047619047</v>
      </c>
      <c r="NW28" s="145">
        <f t="shared" si="18"/>
        <v>0.46153846153846156</v>
      </c>
      <c r="NX28" s="145">
        <f t="shared" si="19"/>
        <v>-1.6</v>
      </c>
      <c r="NY28" s="145">
        <f t="shared" si="19"/>
        <v>-0.875</v>
      </c>
      <c r="NZ28" s="145">
        <f t="shared" si="19"/>
        <v>0.27272727272727271</v>
      </c>
      <c r="OA28" s="145">
        <f t="shared" si="19"/>
        <v>0.15384615384615385</v>
      </c>
      <c r="OB28" s="145">
        <f t="shared" si="19"/>
        <v>-0.8571428571428571</v>
      </c>
      <c r="OC28" s="145">
        <f t="shared" si="19"/>
        <v>0.3</v>
      </c>
      <c r="OD28" s="145">
        <f t="shared" si="19"/>
        <v>0</v>
      </c>
      <c r="OE28" s="145">
        <f t="shared" si="19"/>
        <v>-0.1111111111111111</v>
      </c>
      <c r="OF28" s="145">
        <f t="shared" si="19"/>
        <v>0.1</v>
      </c>
      <c r="OG28" s="145">
        <f t="shared" si="19"/>
        <v>-0.66666666666666663</v>
      </c>
      <c r="OH28" s="145">
        <f t="shared" si="19"/>
        <v>0.14285714285714285</v>
      </c>
      <c r="OI28" s="145">
        <f t="shared" si="19"/>
        <v>0.78787878787878785</v>
      </c>
      <c r="OJ28" s="145">
        <f t="shared" si="19"/>
        <v>-7.25</v>
      </c>
      <c r="OK28" s="145">
        <f t="shared" si="19"/>
        <v>0.42857142857142855</v>
      </c>
      <c r="OL28" s="145">
        <f t="shared" si="19"/>
        <v>0.36363636363636365</v>
      </c>
    </row>
    <row r="29" spans="1:402" x14ac:dyDescent="0.35">
      <c r="B29" s="23"/>
      <c r="C29" s="23"/>
      <c r="D29" s="23"/>
      <c r="E29" s="23"/>
      <c r="F29" s="23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V29" s="25"/>
      <c r="GW29" s="25"/>
      <c r="GX29" s="25"/>
      <c r="GY29" s="25"/>
    </row>
    <row r="31" spans="1:402" ht="16" thickBot="1" x14ac:dyDescent="0.4">
      <c r="A31" s="12" t="s">
        <v>39</v>
      </c>
      <c r="GU31" s="12" t="s">
        <v>36</v>
      </c>
    </row>
    <row r="32" spans="1:402" x14ac:dyDescent="0.35">
      <c r="B32" s="13">
        <v>2007</v>
      </c>
      <c r="C32" s="13"/>
      <c r="D32" s="13"/>
      <c r="E32" s="14"/>
      <c r="F32" s="15">
        <v>2008</v>
      </c>
      <c r="G32" s="16"/>
      <c r="H32" s="17"/>
      <c r="I32" s="16"/>
      <c r="J32" s="16"/>
      <c r="K32" s="16"/>
      <c r="L32" s="18"/>
      <c r="M32" s="18"/>
      <c r="N32" s="18"/>
      <c r="O32" s="18"/>
      <c r="P32" s="18"/>
      <c r="Q32" s="18"/>
      <c r="R32" s="19">
        <v>2009</v>
      </c>
      <c r="S32" s="19"/>
      <c r="T32" s="19"/>
      <c r="U32" s="19"/>
      <c r="V32" s="16"/>
      <c r="W32" s="16"/>
      <c r="X32" s="16"/>
      <c r="Y32" s="16"/>
      <c r="Z32" s="16"/>
      <c r="AA32" s="16"/>
      <c r="AB32" s="16"/>
      <c r="AC32" s="16"/>
      <c r="AD32" s="19">
        <v>2010</v>
      </c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>
        <v>2011</v>
      </c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9">
        <v>2012</v>
      </c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9">
        <v>2013</v>
      </c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>
        <v>2014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>
        <v>2015</v>
      </c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9">
        <v>2016</v>
      </c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9">
        <v>2017</v>
      </c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>
        <v>2018</v>
      </c>
      <c r="DW32" s="19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9">
        <v>2019</v>
      </c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9">
        <v>2020</v>
      </c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9">
        <v>2021</v>
      </c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>
        <v>2022</v>
      </c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>
        <v>2023</v>
      </c>
      <c r="GE32" s="19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9">
        <v>2024</v>
      </c>
      <c r="GQ32" s="19"/>
      <c r="GR32" s="183"/>
      <c r="GV32" s="13">
        <v>2007</v>
      </c>
      <c r="GW32" s="13"/>
      <c r="GX32" s="13"/>
      <c r="GY32" s="14"/>
      <c r="GZ32" s="15">
        <v>2008</v>
      </c>
      <c r="HA32" s="16"/>
      <c r="HB32" s="17"/>
      <c r="HC32" s="16"/>
      <c r="HD32" s="16"/>
      <c r="HE32" s="16"/>
      <c r="HF32" s="18"/>
      <c r="HG32" s="18"/>
      <c r="HH32" s="18"/>
      <c r="HI32" s="18"/>
      <c r="HJ32" s="18"/>
      <c r="HK32" s="18"/>
      <c r="HL32" s="19">
        <v>2009</v>
      </c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>
        <v>2010</v>
      </c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>
        <v>2011</v>
      </c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>
        <v>2012</v>
      </c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>
        <v>2013</v>
      </c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>
        <v>2014</v>
      </c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>
        <v>2015</v>
      </c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>
        <v>2016</v>
      </c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>
        <v>2017</v>
      </c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>
        <v>2018</v>
      </c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>
        <v>2019</v>
      </c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>
        <v>2020</v>
      </c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>
        <v>2021</v>
      </c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>
        <v>2022</v>
      </c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>
        <v>2023</v>
      </c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>
        <v>2024</v>
      </c>
      <c r="OK32" s="19"/>
      <c r="OL32" s="19"/>
    </row>
    <row r="33" spans="1:402" s="2" customFormat="1" x14ac:dyDescent="0.35">
      <c r="A33" s="26"/>
      <c r="B33" s="20" t="s">
        <v>3</v>
      </c>
      <c r="C33" s="21" t="s">
        <v>4</v>
      </c>
      <c r="D33" s="20" t="s">
        <v>5</v>
      </c>
      <c r="E33" s="20" t="s">
        <v>6</v>
      </c>
      <c r="F33" s="20" t="s">
        <v>7</v>
      </c>
      <c r="G33" s="20" t="s">
        <v>8</v>
      </c>
      <c r="H33" s="20" t="s">
        <v>9</v>
      </c>
      <c r="I33" s="20" t="s">
        <v>10</v>
      </c>
      <c r="J33" s="20" t="s">
        <v>11</v>
      </c>
      <c r="K33" s="20" t="s">
        <v>12</v>
      </c>
      <c r="L33" s="20" t="s">
        <v>13</v>
      </c>
      <c r="M33" s="20" t="s">
        <v>14</v>
      </c>
      <c r="N33" s="20" t="s">
        <v>3</v>
      </c>
      <c r="O33" s="20" t="s">
        <v>4</v>
      </c>
      <c r="P33" s="20" t="s">
        <v>5</v>
      </c>
      <c r="Q33" s="20" t="s">
        <v>15</v>
      </c>
      <c r="R33" s="22" t="s">
        <v>7</v>
      </c>
      <c r="S33" s="22" t="s">
        <v>8</v>
      </c>
      <c r="T33" s="22" t="s">
        <v>9</v>
      </c>
      <c r="U33" s="22" t="s">
        <v>10</v>
      </c>
      <c r="V33" s="22" t="s">
        <v>11</v>
      </c>
      <c r="W33" s="22" t="s">
        <v>12</v>
      </c>
      <c r="X33" s="22" t="s">
        <v>13</v>
      </c>
      <c r="Y33" s="22" t="s">
        <v>14</v>
      </c>
      <c r="Z33" s="22" t="s">
        <v>16</v>
      </c>
      <c r="AA33" s="22" t="s">
        <v>4</v>
      </c>
      <c r="AB33" s="22" t="s">
        <v>5</v>
      </c>
      <c r="AC33" s="22" t="s">
        <v>6</v>
      </c>
      <c r="AD33" s="22" t="s">
        <v>17</v>
      </c>
      <c r="AE33" s="22" t="s">
        <v>8</v>
      </c>
      <c r="AF33" s="22" t="s">
        <v>18</v>
      </c>
      <c r="AG33" s="22" t="s">
        <v>10</v>
      </c>
      <c r="AH33" s="22" t="s">
        <v>11</v>
      </c>
      <c r="AI33" s="22" t="s">
        <v>12</v>
      </c>
      <c r="AJ33" s="22" t="s">
        <v>13</v>
      </c>
      <c r="AK33" s="22" t="s">
        <v>14</v>
      </c>
      <c r="AL33" s="22" t="s">
        <v>16</v>
      </c>
      <c r="AM33" s="22" t="s">
        <v>19</v>
      </c>
      <c r="AN33" s="22" t="s">
        <v>5</v>
      </c>
      <c r="AO33" s="22" t="s">
        <v>6</v>
      </c>
      <c r="AP33" s="22" t="s">
        <v>7</v>
      </c>
      <c r="AQ33" s="22" t="s">
        <v>8</v>
      </c>
      <c r="AR33" s="22" t="s">
        <v>9</v>
      </c>
      <c r="AS33" s="22" t="s">
        <v>10</v>
      </c>
      <c r="AT33" s="22" t="s">
        <v>11</v>
      </c>
      <c r="AU33" s="22" t="s">
        <v>12</v>
      </c>
      <c r="AV33" s="22" t="s">
        <v>13</v>
      </c>
      <c r="AW33" s="22" t="s">
        <v>14</v>
      </c>
      <c r="AX33" s="22" t="s">
        <v>3</v>
      </c>
      <c r="AY33" s="22" t="s">
        <v>4</v>
      </c>
      <c r="AZ33" s="22" t="s">
        <v>5</v>
      </c>
      <c r="BA33" s="22" t="s">
        <v>15</v>
      </c>
      <c r="BB33" s="22" t="s">
        <v>7</v>
      </c>
      <c r="BC33" s="22" t="s">
        <v>8</v>
      </c>
      <c r="BD33" s="22" t="s">
        <v>18</v>
      </c>
      <c r="BE33" s="22" t="s">
        <v>10</v>
      </c>
      <c r="BF33" s="22" t="s">
        <v>11</v>
      </c>
      <c r="BG33" s="22" t="s">
        <v>12</v>
      </c>
      <c r="BH33" s="22" t="s">
        <v>20</v>
      </c>
      <c r="BI33" s="22" t="s">
        <v>21</v>
      </c>
      <c r="BJ33" s="22" t="s">
        <v>16</v>
      </c>
      <c r="BK33" s="22" t="s">
        <v>19</v>
      </c>
      <c r="BL33" s="22" t="s">
        <v>5</v>
      </c>
      <c r="BM33" s="22" t="s">
        <v>15</v>
      </c>
      <c r="BN33" s="22" t="s">
        <v>7</v>
      </c>
      <c r="BO33" s="22" t="s">
        <v>8</v>
      </c>
      <c r="BP33" s="22" t="s">
        <v>9</v>
      </c>
      <c r="BQ33" s="22" t="s">
        <v>10</v>
      </c>
      <c r="BR33" s="22" t="s">
        <v>11</v>
      </c>
      <c r="BS33" s="22" t="s">
        <v>12</v>
      </c>
      <c r="BT33" s="22" t="s">
        <v>20</v>
      </c>
      <c r="BU33" s="22" t="s">
        <v>21</v>
      </c>
      <c r="BV33" s="22" t="s">
        <v>22</v>
      </c>
      <c r="BW33" s="22" t="s">
        <v>4</v>
      </c>
      <c r="BX33" s="22" t="s">
        <v>5</v>
      </c>
      <c r="BY33" s="22" t="s">
        <v>6</v>
      </c>
      <c r="BZ33" s="22" t="s">
        <v>17</v>
      </c>
      <c r="CA33" s="22" t="s">
        <v>23</v>
      </c>
      <c r="CB33" s="22" t="s">
        <v>18</v>
      </c>
      <c r="CC33" s="22" t="s">
        <v>24</v>
      </c>
      <c r="CD33" s="22" t="s">
        <v>11</v>
      </c>
      <c r="CE33" s="22" t="s">
        <v>12</v>
      </c>
      <c r="CF33" s="22" t="s">
        <v>13</v>
      </c>
      <c r="CG33" s="22" t="s">
        <v>14</v>
      </c>
      <c r="CH33" s="22" t="s">
        <v>16</v>
      </c>
      <c r="CI33" s="22" t="s">
        <v>4</v>
      </c>
      <c r="CJ33" s="22" t="s">
        <v>5</v>
      </c>
      <c r="CK33" s="22" t="s">
        <v>6</v>
      </c>
      <c r="CL33" s="22" t="s">
        <v>7</v>
      </c>
      <c r="CM33" s="22" t="s">
        <v>8</v>
      </c>
      <c r="CN33" s="22" t="s">
        <v>18</v>
      </c>
      <c r="CO33" s="22" t="s">
        <v>10</v>
      </c>
      <c r="CP33" s="22" t="s">
        <v>11</v>
      </c>
      <c r="CQ33" s="22" t="s">
        <v>12</v>
      </c>
      <c r="CR33" s="22" t="s">
        <v>20</v>
      </c>
      <c r="CS33" s="22" t="s">
        <v>14</v>
      </c>
      <c r="CT33" s="22" t="s">
        <v>22</v>
      </c>
      <c r="CU33" s="22" t="s">
        <v>19</v>
      </c>
      <c r="CV33" s="22" t="s">
        <v>5</v>
      </c>
      <c r="CW33" s="22" t="s">
        <v>15</v>
      </c>
      <c r="CX33" s="22" t="s">
        <v>7</v>
      </c>
      <c r="CY33" s="22" t="s">
        <v>23</v>
      </c>
      <c r="CZ33" s="22" t="s">
        <v>18</v>
      </c>
      <c r="DA33" s="22" t="s">
        <v>24</v>
      </c>
      <c r="DB33" s="22" t="s">
        <v>11</v>
      </c>
      <c r="DC33" s="22" t="s">
        <v>12</v>
      </c>
      <c r="DD33" s="22" t="s">
        <v>13</v>
      </c>
      <c r="DE33" s="22" t="s">
        <v>14</v>
      </c>
      <c r="DF33" s="22" t="s">
        <v>16</v>
      </c>
      <c r="DG33" s="22" t="s">
        <v>4</v>
      </c>
      <c r="DH33" s="22" t="s">
        <v>5</v>
      </c>
      <c r="DI33" s="22" t="s">
        <v>15</v>
      </c>
      <c r="DJ33" s="22" t="s">
        <v>7</v>
      </c>
      <c r="DK33" s="22" t="s">
        <v>8</v>
      </c>
      <c r="DL33" s="22" t="s">
        <v>18</v>
      </c>
      <c r="DM33" s="22" t="s">
        <v>24</v>
      </c>
      <c r="DN33" s="22" t="s">
        <v>11</v>
      </c>
      <c r="DO33" s="22" t="s">
        <v>12</v>
      </c>
      <c r="DP33" s="22" t="s">
        <v>20</v>
      </c>
      <c r="DQ33" s="22" t="s">
        <v>14</v>
      </c>
      <c r="DR33" s="22" t="s">
        <v>22</v>
      </c>
      <c r="DS33" s="22" t="s">
        <v>19</v>
      </c>
      <c r="DT33" s="22" t="s">
        <v>5</v>
      </c>
      <c r="DU33" s="22" t="s">
        <v>15</v>
      </c>
      <c r="DV33" s="22" t="s">
        <v>7</v>
      </c>
      <c r="DW33" s="22" t="s">
        <v>8</v>
      </c>
      <c r="DX33" s="22" t="s">
        <v>18</v>
      </c>
      <c r="DY33" s="22" t="s">
        <v>24</v>
      </c>
      <c r="DZ33" s="22" t="s">
        <v>11</v>
      </c>
      <c r="EA33" s="22" t="s">
        <v>12</v>
      </c>
      <c r="EB33" s="22" t="s">
        <v>20</v>
      </c>
      <c r="EC33" s="22" t="s">
        <v>21</v>
      </c>
      <c r="ED33" s="22" t="s">
        <v>22</v>
      </c>
      <c r="EE33" s="22" t="s">
        <v>4</v>
      </c>
      <c r="EF33" s="22" t="s">
        <v>5</v>
      </c>
      <c r="EG33" s="22" t="s">
        <v>15</v>
      </c>
      <c r="EH33" s="22" t="s">
        <v>17</v>
      </c>
      <c r="EI33" s="22" t="s">
        <v>23</v>
      </c>
      <c r="EJ33" s="22" t="s">
        <v>18</v>
      </c>
      <c r="EK33" s="22" t="s">
        <v>24</v>
      </c>
      <c r="EL33" s="22" t="s">
        <v>11</v>
      </c>
      <c r="EM33" s="22" t="s">
        <v>12</v>
      </c>
      <c r="EN33" s="22" t="s">
        <v>20</v>
      </c>
      <c r="EO33" s="22" t="s">
        <v>21</v>
      </c>
      <c r="EP33" s="22" t="s">
        <v>22</v>
      </c>
      <c r="EQ33" s="22" t="s">
        <v>4</v>
      </c>
      <c r="ER33" s="22" t="s">
        <v>5</v>
      </c>
      <c r="ES33" s="22" t="s">
        <v>6</v>
      </c>
      <c r="ET33" s="22" t="s">
        <v>17</v>
      </c>
      <c r="EU33" s="22" t="s">
        <v>8</v>
      </c>
      <c r="EV33" s="22" t="s">
        <v>18</v>
      </c>
      <c r="EW33" s="22" t="s">
        <v>24</v>
      </c>
      <c r="EX33" s="22" t="s">
        <v>11</v>
      </c>
      <c r="EY33" s="22" t="s">
        <v>12</v>
      </c>
      <c r="EZ33" s="22" t="s">
        <v>20</v>
      </c>
      <c r="FA33" s="22" t="s">
        <v>14</v>
      </c>
      <c r="FB33" s="22" t="s">
        <v>22</v>
      </c>
      <c r="FC33" s="22" t="s">
        <v>4</v>
      </c>
      <c r="FD33" s="22" t="s">
        <v>5</v>
      </c>
      <c r="FE33" s="22" t="s">
        <v>6</v>
      </c>
      <c r="FF33" s="22" t="s">
        <v>7</v>
      </c>
      <c r="FG33" s="22" t="s">
        <v>8</v>
      </c>
      <c r="FH33" s="22" t="s">
        <v>9</v>
      </c>
      <c r="FI33" s="22" t="s">
        <v>24</v>
      </c>
      <c r="FJ33" s="22" t="s">
        <v>11</v>
      </c>
      <c r="FK33" s="22" t="s">
        <v>12</v>
      </c>
      <c r="FL33" s="22" t="s">
        <v>20</v>
      </c>
      <c r="FM33" s="22" t="s">
        <v>14</v>
      </c>
      <c r="FN33" s="22" t="s">
        <v>22</v>
      </c>
      <c r="FO33" s="22" t="s">
        <v>19</v>
      </c>
      <c r="FP33" s="22" t="s">
        <v>27</v>
      </c>
      <c r="FQ33" s="22" t="s">
        <v>15</v>
      </c>
      <c r="FR33" s="22" t="s">
        <v>7</v>
      </c>
      <c r="FS33" s="22" t="s">
        <v>8</v>
      </c>
      <c r="FT33" s="22" t="s">
        <v>9</v>
      </c>
      <c r="FU33" s="22" t="s">
        <v>10</v>
      </c>
      <c r="FV33" s="22" t="s">
        <v>11</v>
      </c>
      <c r="FW33" s="22" t="s">
        <v>12</v>
      </c>
      <c r="FX33" s="22" t="s">
        <v>20</v>
      </c>
      <c r="FY33" s="22" t="s">
        <v>14</v>
      </c>
      <c r="FZ33" s="22" t="s">
        <v>16</v>
      </c>
      <c r="GA33" s="22" t="s">
        <v>19</v>
      </c>
      <c r="GB33" s="22" t="s">
        <v>5</v>
      </c>
      <c r="GC33" s="22" t="s">
        <v>6</v>
      </c>
      <c r="GD33" s="22" t="s">
        <v>7</v>
      </c>
      <c r="GE33" s="22" t="s">
        <v>8</v>
      </c>
      <c r="GF33" s="22" t="s">
        <v>18</v>
      </c>
      <c r="GG33" s="22" t="s">
        <v>24</v>
      </c>
      <c r="GH33" s="22" t="s">
        <v>11</v>
      </c>
      <c r="GI33" s="22" t="s">
        <v>12</v>
      </c>
      <c r="GJ33" s="22" t="s">
        <v>13</v>
      </c>
      <c r="GK33" s="22" t="s">
        <v>14</v>
      </c>
      <c r="GL33" s="22" t="s">
        <v>22</v>
      </c>
      <c r="GM33" s="22" t="s">
        <v>4</v>
      </c>
      <c r="GN33" s="22" t="s">
        <v>5</v>
      </c>
      <c r="GO33" s="22" t="s">
        <v>6</v>
      </c>
      <c r="GP33" s="22" t="s">
        <v>7</v>
      </c>
      <c r="GQ33" s="22" t="s">
        <v>8</v>
      </c>
      <c r="GR33" s="22" t="s">
        <v>18</v>
      </c>
      <c r="GV33" s="20" t="s">
        <v>3</v>
      </c>
      <c r="GW33" s="21" t="s">
        <v>4</v>
      </c>
      <c r="GX33" s="20" t="s">
        <v>5</v>
      </c>
      <c r="GY33" s="20" t="s">
        <v>6</v>
      </c>
      <c r="GZ33" s="20" t="s">
        <v>7</v>
      </c>
      <c r="HA33" s="20" t="s">
        <v>8</v>
      </c>
      <c r="HB33" s="20" t="s">
        <v>9</v>
      </c>
      <c r="HC33" s="20" t="s">
        <v>10</v>
      </c>
      <c r="HD33" s="20" t="s">
        <v>11</v>
      </c>
      <c r="HE33" s="20" t="s">
        <v>12</v>
      </c>
      <c r="HF33" s="20" t="s">
        <v>13</v>
      </c>
      <c r="HG33" s="20" t="s">
        <v>14</v>
      </c>
      <c r="HH33" s="20" t="s">
        <v>3</v>
      </c>
      <c r="HI33" s="20" t="s">
        <v>4</v>
      </c>
      <c r="HJ33" s="20" t="s">
        <v>5</v>
      </c>
      <c r="HK33" s="20" t="s">
        <v>15</v>
      </c>
      <c r="HL33" s="22" t="s">
        <v>7</v>
      </c>
      <c r="HM33" s="22" t="s">
        <v>8</v>
      </c>
      <c r="HN33" s="22" t="s">
        <v>9</v>
      </c>
      <c r="HO33" s="22" t="s">
        <v>10</v>
      </c>
      <c r="HP33" s="22" t="s">
        <v>11</v>
      </c>
      <c r="HQ33" s="22" t="s">
        <v>12</v>
      </c>
      <c r="HR33" s="22" t="s">
        <v>13</v>
      </c>
      <c r="HS33" s="22" t="s">
        <v>14</v>
      </c>
      <c r="HT33" s="22" t="s">
        <v>16</v>
      </c>
      <c r="HU33" s="22" t="s">
        <v>4</v>
      </c>
      <c r="HV33" s="22" t="s">
        <v>5</v>
      </c>
      <c r="HW33" s="22" t="s">
        <v>6</v>
      </c>
      <c r="HX33" s="22" t="s">
        <v>17</v>
      </c>
      <c r="HY33" s="22" t="s">
        <v>8</v>
      </c>
      <c r="HZ33" s="22" t="s">
        <v>18</v>
      </c>
      <c r="IA33" s="22" t="s">
        <v>10</v>
      </c>
      <c r="IB33" s="22" t="s">
        <v>11</v>
      </c>
      <c r="IC33" s="22" t="s">
        <v>12</v>
      </c>
      <c r="ID33" s="22" t="s">
        <v>13</v>
      </c>
      <c r="IE33" s="22" t="s">
        <v>26</v>
      </c>
      <c r="IF33" s="22" t="s">
        <v>16</v>
      </c>
      <c r="IG33" s="22" t="s">
        <v>4</v>
      </c>
      <c r="IH33" s="22" t="s">
        <v>5</v>
      </c>
      <c r="II33" s="22" t="s">
        <v>6</v>
      </c>
      <c r="IJ33" s="22" t="s">
        <v>7</v>
      </c>
      <c r="IK33" s="22" t="s">
        <v>8</v>
      </c>
      <c r="IL33" s="22" t="s">
        <v>18</v>
      </c>
      <c r="IM33" s="22" t="s">
        <v>10</v>
      </c>
      <c r="IN33" s="22" t="s">
        <v>11</v>
      </c>
      <c r="IO33" s="22" t="s">
        <v>12</v>
      </c>
      <c r="IP33" s="22" t="s">
        <v>13</v>
      </c>
      <c r="IQ33" s="22" t="s">
        <v>14</v>
      </c>
      <c r="IR33" s="22" t="s">
        <v>3</v>
      </c>
      <c r="IS33" s="22" t="s">
        <v>4</v>
      </c>
      <c r="IT33" s="22" t="s">
        <v>5</v>
      </c>
      <c r="IU33" s="22" t="s">
        <v>15</v>
      </c>
      <c r="IV33" s="22" t="s">
        <v>7</v>
      </c>
      <c r="IW33" s="22" t="s">
        <v>8</v>
      </c>
      <c r="IX33" s="22" t="s">
        <v>9</v>
      </c>
      <c r="IY33" s="22" t="s">
        <v>10</v>
      </c>
      <c r="IZ33" s="22" t="s">
        <v>11</v>
      </c>
      <c r="JA33" s="22" t="s">
        <v>12</v>
      </c>
      <c r="JB33" s="22" t="s">
        <v>20</v>
      </c>
      <c r="JC33" s="22" t="s">
        <v>21</v>
      </c>
      <c r="JD33" s="22" t="s">
        <v>16</v>
      </c>
      <c r="JE33" s="22" t="s">
        <v>4</v>
      </c>
      <c r="JF33" s="22" t="s">
        <v>5</v>
      </c>
      <c r="JG33" s="22" t="s">
        <v>6</v>
      </c>
      <c r="JH33" s="22" t="s">
        <v>7</v>
      </c>
      <c r="JI33" s="22" t="s">
        <v>8</v>
      </c>
      <c r="JJ33" s="22" t="s">
        <v>9</v>
      </c>
      <c r="JK33" s="22" t="s">
        <v>10</v>
      </c>
      <c r="JL33" s="22" t="s">
        <v>11</v>
      </c>
      <c r="JM33" s="22" t="s">
        <v>12</v>
      </c>
      <c r="JN33" s="22" t="s">
        <v>20</v>
      </c>
      <c r="JO33" s="22" t="s">
        <v>14</v>
      </c>
      <c r="JP33" s="22" t="s">
        <v>22</v>
      </c>
      <c r="JQ33" s="22" t="s">
        <v>4</v>
      </c>
      <c r="JR33" s="22" t="s">
        <v>5</v>
      </c>
      <c r="JS33" s="22" t="s">
        <v>40</v>
      </c>
      <c r="JT33" s="22" t="s">
        <v>17</v>
      </c>
      <c r="JU33" s="22" t="s">
        <v>23</v>
      </c>
      <c r="JV33" s="22" t="s">
        <v>18</v>
      </c>
      <c r="JW33" s="22" t="s">
        <v>24</v>
      </c>
      <c r="JX33" s="22" t="s">
        <v>11</v>
      </c>
      <c r="JY33" s="22" t="s">
        <v>12</v>
      </c>
      <c r="JZ33" s="22" t="s">
        <v>13</v>
      </c>
      <c r="KA33" s="22" t="s">
        <v>14</v>
      </c>
      <c r="KB33" s="22" t="s">
        <v>22</v>
      </c>
      <c r="KC33" s="22" t="s">
        <v>4</v>
      </c>
      <c r="KD33" s="22" t="s">
        <v>5</v>
      </c>
      <c r="KE33" s="22" t="s">
        <v>6</v>
      </c>
      <c r="KF33" s="22" t="s">
        <v>17</v>
      </c>
      <c r="KG33" s="22" t="s">
        <v>8</v>
      </c>
      <c r="KH33" s="22" t="s">
        <v>18</v>
      </c>
      <c r="KI33" s="22" t="s">
        <v>10</v>
      </c>
      <c r="KJ33" s="22" t="s">
        <v>11</v>
      </c>
      <c r="KK33" s="22" t="s">
        <v>12</v>
      </c>
      <c r="KL33" s="22" t="s">
        <v>20</v>
      </c>
      <c r="KM33" s="22" t="s">
        <v>21</v>
      </c>
      <c r="KN33" s="22" t="s">
        <v>16</v>
      </c>
      <c r="KO33" s="22" t="s">
        <v>19</v>
      </c>
      <c r="KP33" s="22" t="s">
        <v>5</v>
      </c>
      <c r="KQ33" s="22" t="s">
        <v>6</v>
      </c>
      <c r="KR33" s="22" t="s">
        <v>7</v>
      </c>
      <c r="KS33" s="22" t="s">
        <v>8</v>
      </c>
      <c r="KT33" s="22" t="s">
        <v>18</v>
      </c>
      <c r="KU33" s="22" t="s">
        <v>24</v>
      </c>
      <c r="KV33" s="22" t="s">
        <v>11</v>
      </c>
      <c r="KW33" s="22" t="s">
        <v>12</v>
      </c>
      <c r="KX33" s="22" t="s">
        <v>20</v>
      </c>
      <c r="KY33" s="22" t="s">
        <v>14</v>
      </c>
      <c r="KZ33" s="22" t="s">
        <v>16</v>
      </c>
      <c r="LA33" s="22" t="s">
        <v>4</v>
      </c>
      <c r="LB33" s="22" t="s">
        <v>27</v>
      </c>
      <c r="LC33" s="22" t="s">
        <v>6</v>
      </c>
      <c r="LD33" s="22" t="s">
        <v>7</v>
      </c>
      <c r="LE33" s="22" t="s">
        <v>8</v>
      </c>
      <c r="LF33" s="22" t="s">
        <v>9</v>
      </c>
      <c r="LG33" s="22" t="s">
        <v>24</v>
      </c>
      <c r="LH33" s="22" t="s">
        <v>11</v>
      </c>
      <c r="LI33" s="22" t="s">
        <v>12</v>
      </c>
      <c r="LJ33" s="22" t="s">
        <v>20</v>
      </c>
      <c r="LK33" s="22" t="s">
        <v>14</v>
      </c>
      <c r="LL33" s="22" t="s">
        <v>22</v>
      </c>
      <c r="LM33" s="22" t="s">
        <v>19</v>
      </c>
      <c r="LN33" s="22" t="s">
        <v>5</v>
      </c>
      <c r="LO33" s="22" t="s">
        <v>15</v>
      </c>
      <c r="LP33" s="22" t="s">
        <v>7</v>
      </c>
      <c r="LQ33" s="22" t="s">
        <v>8</v>
      </c>
      <c r="LR33" s="22" t="s">
        <v>18</v>
      </c>
      <c r="LS33" s="22" t="s">
        <v>10</v>
      </c>
      <c r="LT33" s="22" t="s">
        <v>11</v>
      </c>
      <c r="LU33" s="22" t="s">
        <v>12</v>
      </c>
      <c r="LV33" s="22" t="s">
        <v>13</v>
      </c>
      <c r="LW33" s="22" t="s">
        <v>14</v>
      </c>
      <c r="LX33" s="22" t="s">
        <v>22</v>
      </c>
      <c r="LY33" s="22" t="s">
        <v>4</v>
      </c>
      <c r="LZ33" s="22" t="s">
        <v>5</v>
      </c>
      <c r="MA33" s="22" t="s">
        <v>6</v>
      </c>
      <c r="MB33" s="22" t="s">
        <v>17</v>
      </c>
      <c r="MC33" s="22" t="s">
        <v>8</v>
      </c>
      <c r="MD33" s="22" t="s">
        <v>18</v>
      </c>
      <c r="ME33" s="22" t="s">
        <v>24</v>
      </c>
      <c r="MF33" s="22" t="s">
        <v>11</v>
      </c>
      <c r="MG33" s="22" t="s">
        <v>101</v>
      </c>
      <c r="MH33" s="22" t="s">
        <v>20</v>
      </c>
      <c r="MI33" s="22" t="s">
        <v>14</v>
      </c>
      <c r="MJ33" s="22" t="s">
        <v>22</v>
      </c>
      <c r="MK33" s="22" t="s">
        <v>22</v>
      </c>
      <c r="ML33" s="22" t="s">
        <v>5</v>
      </c>
      <c r="MM33" s="22" t="s">
        <v>6</v>
      </c>
      <c r="MN33" s="22" t="s">
        <v>17</v>
      </c>
      <c r="MO33" s="22" t="s">
        <v>8</v>
      </c>
      <c r="MP33" s="22" t="s">
        <v>18</v>
      </c>
      <c r="MQ33" s="22" t="s">
        <v>24</v>
      </c>
      <c r="MR33" s="22" t="s">
        <v>11</v>
      </c>
      <c r="MS33" s="22" t="s">
        <v>12</v>
      </c>
      <c r="MT33" s="22" t="s">
        <v>20</v>
      </c>
      <c r="MU33" s="22" t="s">
        <v>14</v>
      </c>
      <c r="MV33" s="22" t="s">
        <v>22</v>
      </c>
      <c r="MW33" s="22" t="s">
        <v>4</v>
      </c>
      <c r="MX33" s="22" t="s">
        <v>5</v>
      </c>
      <c r="MY33" s="22" t="s">
        <v>15</v>
      </c>
      <c r="MZ33" s="22" t="s">
        <v>7</v>
      </c>
      <c r="NA33" s="22" t="s">
        <v>8</v>
      </c>
      <c r="NB33" s="22" t="s">
        <v>18</v>
      </c>
      <c r="NC33" s="22" t="s">
        <v>24</v>
      </c>
      <c r="ND33" s="22" t="s">
        <v>11</v>
      </c>
      <c r="NE33" s="22" t="s">
        <v>12</v>
      </c>
      <c r="NF33" s="22" t="s">
        <v>20</v>
      </c>
      <c r="NG33" s="22" t="s">
        <v>14</v>
      </c>
      <c r="NH33" s="22" t="s">
        <v>22</v>
      </c>
      <c r="NI33" s="22" t="s">
        <v>19</v>
      </c>
      <c r="NJ33" s="22" t="s">
        <v>27</v>
      </c>
      <c r="NK33" s="22" t="s">
        <v>6</v>
      </c>
      <c r="NL33" s="22" t="s">
        <v>7</v>
      </c>
      <c r="NM33" s="22" t="s">
        <v>8</v>
      </c>
      <c r="NN33" s="22" t="s">
        <v>9</v>
      </c>
      <c r="NO33" s="22" t="s">
        <v>10</v>
      </c>
      <c r="NP33" s="22" t="s">
        <v>11</v>
      </c>
      <c r="NQ33" s="22" t="s">
        <v>12</v>
      </c>
      <c r="NR33" s="22" t="s">
        <v>20</v>
      </c>
      <c r="NS33" s="22" t="s">
        <v>14</v>
      </c>
      <c r="NT33" s="22" t="s">
        <v>16</v>
      </c>
      <c r="NU33" s="22" t="s">
        <v>19</v>
      </c>
      <c r="NV33" s="22" t="s">
        <v>5</v>
      </c>
      <c r="NW33" s="22" t="s">
        <v>6</v>
      </c>
      <c r="NX33" s="22" t="s">
        <v>7</v>
      </c>
      <c r="NY33" s="22" t="s">
        <v>8</v>
      </c>
      <c r="NZ33" s="22" t="s">
        <v>18</v>
      </c>
      <c r="OA33" s="22" t="s">
        <v>24</v>
      </c>
      <c r="OB33" s="22" t="s">
        <v>11</v>
      </c>
      <c r="OC33" s="22" t="s">
        <v>12</v>
      </c>
      <c r="OD33" s="22" t="s">
        <v>13</v>
      </c>
      <c r="OE33" s="22" t="s">
        <v>14</v>
      </c>
      <c r="OF33" s="22" t="s">
        <v>16</v>
      </c>
      <c r="OG33" s="22" t="s">
        <v>4</v>
      </c>
      <c r="OH33" s="22" t="s">
        <v>5</v>
      </c>
      <c r="OI33" s="22" t="s">
        <v>15</v>
      </c>
      <c r="OJ33" s="22" t="s">
        <v>7</v>
      </c>
      <c r="OK33" s="22" t="s">
        <v>8</v>
      </c>
      <c r="OL33" s="22" t="s">
        <v>18</v>
      </c>
    </row>
    <row r="34" spans="1:402" s="145" customFormat="1" x14ac:dyDescent="0.35">
      <c r="A34" s="12"/>
      <c r="B34" s="145">
        <f>'[1]Sept 07'!H5</f>
        <v>0.96058284561934193</v>
      </c>
      <c r="C34" s="145">
        <f>'[1]Oct 07'!H5</f>
        <v>0.95175532484212777</v>
      </c>
      <c r="D34" s="145">
        <f>'[1]Nov 07'!H5</f>
        <v>0.94493267045915275</v>
      </c>
      <c r="E34" s="145">
        <f>'[1]Dec 07'!H5</f>
        <v>0.95211954160852197</v>
      </c>
      <c r="F34" s="145">
        <f>'[1]Jan 08'!H5</f>
        <v>0.94663902821851431</v>
      </c>
      <c r="G34" s="145">
        <f>'[1]Feb 08'!H5</f>
        <v>0.94989839718281399</v>
      </c>
      <c r="H34" s="145">
        <f>'[1]Mar 08'!H5</f>
        <v>0.94564202780673934</v>
      </c>
      <c r="I34" s="145">
        <v>0.94589224230938818</v>
      </c>
      <c r="J34" s="145">
        <f>'[1]May 08'!H5</f>
        <v>0.94542340911347167</v>
      </c>
      <c r="K34" s="145">
        <f>'[1]Jun 08'!H5</f>
        <v>0.94685848893384261</v>
      </c>
      <c r="L34" s="145">
        <f>'[1]Jul 08'!H5</f>
        <v>0.94696974347327001</v>
      </c>
      <c r="M34" s="145">
        <v>0.94099999999999995</v>
      </c>
      <c r="N34" s="145">
        <v>0.95299999999999996</v>
      </c>
      <c r="O34" s="145">
        <v>0.94499999999999995</v>
      </c>
      <c r="P34" s="145">
        <v>0.93400000000000005</v>
      </c>
      <c r="Q34" s="145">
        <v>0.94</v>
      </c>
      <c r="R34" s="145">
        <v>0.93300000000000005</v>
      </c>
      <c r="S34" s="145">
        <v>0.93100000000000005</v>
      </c>
      <c r="T34" s="145">
        <v>0.93899999999999995</v>
      </c>
      <c r="U34" s="145">
        <v>0.94899999999999995</v>
      </c>
      <c r="V34" s="145">
        <v>0.94899999999999995</v>
      </c>
      <c r="W34" s="145">
        <v>0.95399999999999996</v>
      </c>
      <c r="X34" s="145">
        <v>0.95399999999999996</v>
      </c>
      <c r="Y34" s="145">
        <v>0.95199999999999996</v>
      </c>
      <c r="Z34" s="145">
        <v>0.95399999999999996</v>
      </c>
      <c r="AA34" s="145">
        <v>0.95599999999999996</v>
      </c>
      <c r="AB34" s="145">
        <v>0.95799999999999996</v>
      </c>
      <c r="AC34" s="145">
        <v>0.94499999999999995</v>
      </c>
      <c r="AD34" s="145">
        <v>0.95299999999999996</v>
      </c>
      <c r="AE34" s="145">
        <v>0.95699999999999996</v>
      </c>
      <c r="AF34" s="145">
        <v>0.94899999999999995</v>
      </c>
      <c r="AG34" s="145">
        <v>0.95399999999999996</v>
      </c>
      <c r="AH34" s="145">
        <v>0.95299999999999996</v>
      </c>
      <c r="AI34" s="145">
        <v>0.95</v>
      </c>
      <c r="AJ34" s="145">
        <v>0.95</v>
      </c>
      <c r="AK34" s="145">
        <v>0.89100000000000001</v>
      </c>
      <c r="AL34" s="145">
        <v>0.95799999999999996</v>
      </c>
      <c r="AM34" s="145">
        <v>0.95699999999999996</v>
      </c>
      <c r="AN34" s="145">
        <v>0.94799999999999995</v>
      </c>
      <c r="AO34" s="145">
        <v>0.95299999999999996</v>
      </c>
      <c r="AP34" s="145">
        <v>0.94499999999999995</v>
      </c>
      <c r="AQ34" s="145">
        <v>0.95599999999999996</v>
      </c>
      <c r="AR34" s="145">
        <v>0.95499999999999996</v>
      </c>
      <c r="AS34" s="145">
        <v>0.95499999999999996</v>
      </c>
      <c r="AT34" s="145">
        <v>0.95899999999999996</v>
      </c>
      <c r="AU34" s="145">
        <v>0.95799999999999996</v>
      </c>
      <c r="AV34" s="145">
        <v>0.96099999999999997</v>
      </c>
      <c r="AW34" s="145">
        <f>377015/393411</f>
        <v>0.95832348358332631</v>
      </c>
      <c r="AX34" s="145">
        <v>0.95799999999999996</v>
      </c>
      <c r="AY34" s="145">
        <v>0.95799999999999996</v>
      </c>
      <c r="AZ34" s="145">
        <v>0.95899999999999996</v>
      </c>
      <c r="BA34" s="145">
        <v>0.96</v>
      </c>
      <c r="BB34" s="145">
        <v>0.95799999999999996</v>
      </c>
      <c r="BC34" s="145">
        <v>0.95899999999999996</v>
      </c>
      <c r="BD34" s="145">
        <v>0.96699999999999997</v>
      </c>
      <c r="BE34" s="145">
        <v>0.96599999999999997</v>
      </c>
      <c r="BF34" s="145">
        <v>0.96699999999999997</v>
      </c>
      <c r="BG34" s="145">
        <v>0.97399999999999998</v>
      </c>
      <c r="BH34" s="145">
        <v>0.97499999999999998</v>
      </c>
      <c r="BI34" s="145">
        <v>0.97199999999999998</v>
      </c>
      <c r="BJ34" s="145">
        <v>0.97099999999999997</v>
      </c>
      <c r="BK34" s="145">
        <v>0.97299999999999998</v>
      </c>
      <c r="BL34" s="145">
        <v>0.97499999999999998</v>
      </c>
      <c r="BM34" s="145">
        <v>0.97099999999999997</v>
      </c>
      <c r="BN34" s="145">
        <v>0.97099999999999997</v>
      </c>
      <c r="BO34" s="145">
        <v>0.97299999999999998</v>
      </c>
      <c r="BP34" s="145">
        <v>0.97099999999999997</v>
      </c>
      <c r="BQ34" s="145">
        <v>0.97299999999999998</v>
      </c>
      <c r="BR34" s="145">
        <v>0.97599999999999998</v>
      </c>
      <c r="BS34" s="145">
        <v>0.97499999999999998</v>
      </c>
      <c r="BT34" s="145">
        <v>0.97499999999999998</v>
      </c>
      <c r="BU34" s="145">
        <v>0.97499999999999998</v>
      </c>
      <c r="BV34" s="145">
        <v>0.97099999999999997</v>
      </c>
      <c r="BW34" s="145">
        <v>0.96899999999999997</v>
      </c>
      <c r="BX34" s="145">
        <v>0.97</v>
      </c>
      <c r="BY34" s="145">
        <v>0.96699999999999997</v>
      </c>
      <c r="BZ34" s="145">
        <v>0.97</v>
      </c>
      <c r="CA34" s="145">
        <v>0.96699999999999997</v>
      </c>
      <c r="CB34" s="145">
        <v>0.96699999999999997</v>
      </c>
      <c r="CC34" s="145">
        <v>0.96799999999999997</v>
      </c>
      <c r="CD34" s="145">
        <v>0.96499999999999997</v>
      </c>
      <c r="CE34" s="145">
        <v>0.96699999999999997</v>
      </c>
      <c r="CF34" s="145">
        <v>0.96399999999999997</v>
      </c>
      <c r="CG34" s="145">
        <v>0.96699999999999997</v>
      </c>
      <c r="CH34" s="145">
        <v>0.96599999999999997</v>
      </c>
      <c r="CI34" s="145">
        <v>0.96899999999999997</v>
      </c>
      <c r="CJ34" s="145">
        <v>0.96299999999999997</v>
      </c>
      <c r="CK34" s="145">
        <v>0.96599999999999997</v>
      </c>
      <c r="CL34" s="145">
        <v>0.96099999999999997</v>
      </c>
      <c r="CM34" s="145">
        <v>0.97</v>
      </c>
      <c r="CN34" s="145">
        <v>0.97099999999999997</v>
      </c>
      <c r="CO34" s="145">
        <v>0.96799999999999997</v>
      </c>
      <c r="CP34" s="145">
        <v>0.97099999999999997</v>
      </c>
      <c r="CQ34" s="145">
        <v>0.97099999999999997</v>
      </c>
      <c r="CR34" s="145">
        <v>0.97099999999999997</v>
      </c>
      <c r="CS34" s="145">
        <v>0.96699999999999997</v>
      </c>
      <c r="CT34" s="145">
        <v>0.97</v>
      </c>
      <c r="CU34" s="145">
        <v>0.96899999999999997</v>
      </c>
      <c r="CV34" s="145">
        <v>0.96899999999999997</v>
      </c>
      <c r="CW34" s="145">
        <v>0.96499999999999997</v>
      </c>
      <c r="CX34" s="145">
        <v>0.97</v>
      </c>
      <c r="CY34" s="145">
        <v>0.96699999999999997</v>
      </c>
      <c r="CZ34" s="145">
        <v>0.97099999999999997</v>
      </c>
      <c r="DA34" s="145">
        <v>0.99099999999999999</v>
      </c>
      <c r="DB34" s="145">
        <v>0.96899999999999997</v>
      </c>
      <c r="DC34" s="145">
        <v>0.97099999999999997</v>
      </c>
      <c r="DD34" s="145">
        <v>0.97199999999999998</v>
      </c>
      <c r="DE34" s="145">
        <v>0.96899999999999997</v>
      </c>
      <c r="DF34" s="145">
        <v>0.97099999999999997</v>
      </c>
      <c r="DG34" s="145">
        <v>0.96899999999999997</v>
      </c>
      <c r="DH34" s="145">
        <v>0.97199999999999998</v>
      </c>
      <c r="DI34" s="145">
        <v>0.99</v>
      </c>
      <c r="DJ34" s="145">
        <v>0.96699999999999997</v>
      </c>
      <c r="DK34" s="145">
        <v>0.97</v>
      </c>
      <c r="DL34" s="145">
        <v>0.97199999999999998</v>
      </c>
      <c r="DM34" s="145">
        <v>0.97299999999999998</v>
      </c>
      <c r="DN34" s="145">
        <v>0.97599999999999998</v>
      </c>
      <c r="DO34" s="145">
        <v>0.97299999999999998</v>
      </c>
      <c r="DP34" s="145">
        <v>0.97399999999999998</v>
      </c>
      <c r="DQ34" s="145">
        <v>0.97199999999999998</v>
      </c>
      <c r="DR34" s="145">
        <v>0.97</v>
      </c>
      <c r="DS34" s="145">
        <v>0.97399999999999998</v>
      </c>
      <c r="DT34" s="145">
        <v>0.97099999999999997</v>
      </c>
      <c r="DU34" s="145">
        <v>0.97299999999999998</v>
      </c>
      <c r="DV34" s="145">
        <v>0.97299999999999998</v>
      </c>
      <c r="DW34" s="145">
        <v>0.97399999999999998</v>
      </c>
      <c r="DX34" s="145">
        <v>0.97699999999999998</v>
      </c>
      <c r="DY34" s="145">
        <v>0.97699999999999998</v>
      </c>
      <c r="DZ34" s="145">
        <v>0.97499999999999998</v>
      </c>
      <c r="EA34" s="145">
        <v>0.97599999999999998</v>
      </c>
      <c r="EB34" s="145">
        <v>0.97699999999999998</v>
      </c>
      <c r="EC34" s="145">
        <v>0.97199999999999998</v>
      </c>
      <c r="ED34" s="145">
        <v>0.97099999999999997</v>
      </c>
      <c r="EE34" s="145">
        <v>0.97499999999999998</v>
      </c>
      <c r="EF34" s="145">
        <v>0.97099999999999997</v>
      </c>
      <c r="EG34" s="145">
        <v>0.97099999999999997</v>
      </c>
      <c r="EH34" s="145">
        <v>0.96799999999999997</v>
      </c>
      <c r="EI34" s="145">
        <v>0.97299999999999998</v>
      </c>
      <c r="EJ34" s="145">
        <v>0.97299999999999998</v>
      </c>
      <c r="EK34" s="145">
        <v>0.97499999999999998</v>
      </c>
      <c r="EL34" s="145">
        <v>0.97599999999999998</v>
      </c>
      <c r="EM34" s="145">
        <v>0.97599999999999998</v>
      </c>
      <c r="EN34" s="145">
        <v>0.97499999999999998</v>
      </c>
      <c r="EO34" s="145">
        <v>0.97599999999999998</v>
      </c>
      <c r="EP34" s="145">
        <v>0.97899999999999998</v>
      </c>
      <c r="EQ34" s="145">
        <v>0.97399999999999998</v>
      </c>
      <c r="ER34" s="145">
        <v>0.97699999999999998</v>
      </c>
      <c r="ES34" s="145">
        <v>0.97599999999999998</v>
      </c>
      <c r="ET34" s="145">
        <v>0.97899999999999998</v>
      </c>
      <c r="EU34" s="145">
        <v>0.98099999999999998</v>
      </c>
      <c r="EV34" s="145">
        <v>0.98599999999999999</v>
      </c>
      <c r="EW34" s="145">
        <v>0.98399999999999999</v>
      </c>
      <c r="EX34" s="145">
        <v>0.97899999999999998</v>
      </c>
      <c r="EY34" s="145">
        <v>0.97899999999999998</v>
      </c>
      <c r="EZ34" s="145">
        <v>0.98299999999999998</v>
      </c>
      <c r="FA34" s="145">
        <v>0.98599999999999999</v>
      </c>
      <c r="FB34" s="145">
        <v>0.98899999999999999</v>
      </c>
      <c r="FC34" s="145">
        <v>0.98899999999999999</v>
      </c>
      <c r="FD34" s="145">
        <v>0.99299999999999999</v>
      </c>
      <c r="FE34" s="145">
        <v>0.99399999999999999</v>
      </c>
      <c r="FF34" s="145">
        <v>0.97399999999999998</v>
      </c>
      <c r="FG34" s="145">
        <v>0.999</v>
      </c>
      <c r="FH34" s="145">
        <v>1.014</v>
      </c>
      <c r="FI34" s="145">
        <v>1.0229999999999999</v>
      </c>
      <c r="FJ34" s="145">
        <v>1.024</v>
      </c>
      <c r="FK34" s="145">
        <v>1.0189999999999999</v>
      </c>
      <c r="FL34" s="145">
        <v>1.0109999999999999</v>
      </c>
      <c r="FM34" s="145">
        <v>1.0009999999999999</v>
      </c>
      <c r="FN34" s="145">
        <v>1.0109999999999999</v>
      </c>
      <c r="FO34" s="145">
        <v>1.002</v>
      </c>
      <c r="FP34" s="145">
        <v>1.002</v>
      </c>
      <c r="FQ34" s="145">
        <v>1.01</v>
      </c>
      <c r="FR34" s="145">
        <v>1.012</v>
      </c>
      <c r="FS34" s="145">
        <v>1.0349999999999999</v>
      </c>
      <c r="FT34" s="145">
        <v>1.05</v>
      </c>
      <c r="FU34" s="145">
        <v>1.0509999999999999</v>
      </c>
      <c r="FV34" s="145">
        <v>1.036</v>
      </c>
      <c r="FW34" s="145">
        <v>1.012</v>
      </c>
      <c r="FX34" s="145">
        <v>0.99</v>
      </c>
      <c r="FY34" s="145">
        <v>0.97</v>
      </c>
      <c r="FZ34" s="145">
        <v>0.97199999999999998</v>
      </c>
      <c r="GA34" s="145">
        <v>0.96399999999999997</v>
      </c>
      <c r="GB34" s="145">
        <v>0.97099999999999997</v>
      </c>
      <c r="GC34" s="145">
        <v>0.97099999999999997</v>
      </c>
      <c r="GD34" s="145">
        <v>0.96899999999999997</v>
      </c>
      <c r="GE34" s="145">
        <v>0.97599999999999998</v>
      </c>
      <c r="GF34" s="145">
        <v>0.97199999999999998</v>
      </c>
      <c r="GG34" s="145">
        <v>0.97899999999999998</v>
      </c>
      <c r="GH34" s="145">
        <v>0.98399999999999999</v>
      </c>
      <c r="GI34" s="145">
        <v>0.98</v>
      </c>
      <c r="GJ34" s="145">
        <v>0.98699999999999999</v>
      </c>
      <c r="GK34" s="145">
        <v>0.98699999999999999</v>
      </c>
      <c r="GL34" s="145">
        <v>0.98199999999999998</v>
      </c>
      <c r="GM34" s="145">
        <v>0.97499999999999998</v>
      </c>
      <c r="GN34" s="145">
        <v>0.97599999999999998</v>
      </c>
      <c r="GO34" s="145">
        <v>0.97499999999999998</v>
      </c>
      <c r="GP34" s="145">
        <v>0.97699999999999998</v>
      </c>
      <c r="GQ34" s="145">
        <v>0.98099999999999998</v>
      </c>
      <c r="GR34" s="145">
        <v>0.98299999999999998</v>
      </c>
      <c r="GS34" s="144"/>
      <c r="GT34" s="144"/>
      <c r="GU34" s="144"/>
      <c r="GV34" s="145">
        <f>'[1]Sept 07'!H7</f>
        <v>5.9775840597758409E-2</v>
      </c>
      <c r="GW34" s="145">
        <f>'[1]Oct 07'!H7</f>
        <v>7.5040783034257749E-2</v>
      </c>
      <c r="GX34" s="145">
        <f>'[1]Nov 07'!H7</f>
        <v>5.0586806960744635E-2</v>
      </c>
      <c r="GY34" s="145">
        <f>'[1]Dec 07'!H7</f>
        <v>6.263406263406264E-2</v>
      </c>
      <c r="GZ34" s="145">
        <f>'[1]Jan 08'!H7</f>
        <v>5.792563600782779E-2</v>
      </c>
      <c r="HA34" s="145">
        <f>'[1]Feb 08'!H7</f>
        <v>6.9177555726364331E-2</v>
      </c>
      <c r="HB34" s="145">
        <f>'[1]Mar 08'!H7</f>
        <v>7.1806500377928947E-2</v>
      </c>
      <c r="HC34" s="145">
        <v>7.995088612107884E-2</v>
      </c>
      <c r="HD34" s="145">
        <f>'[1]May 08'!H7</f>
        <v>0.10292921074043938</v>
      </c>
      <c r="HE34" s="145">
        <f>'[1]Jun 08'!H7</f>
        <v>0.11052202283849918</v>
      </c>
      <c r="HF34" s="145">
        <f>'[1]Jul 08'!H7</f>
        <v>0.10008169934640523</v>
      </c>
      <c r="HG34" s="145">
        <v>9.6000000000000002E-2</v>
      </c>
      <c r="HH34" s="145">
        <v>8.4000000000000005E-2</v>
      </c>
      <c r="HI34" s="145">
        <v>0.08</v>
      </c>
      <c r="HJ34" s="145">
        <v>0.06</v>
      </c>
      <c r="HK34" s="145">
        <v>8.5000000000000006E-2</v>
      </c>
      <c r="HL34" s="145">
        <v>6.3E-2</v>
      </c>
      <c r="HM34" s="145">
        <v>6.8000000000000005E-2</v>
      </c>
      <c r="HN34" s="145">
        <v>8.3000000000000004E-2</v>
      </c>
      <c r="HO34" s="145">
        <v>0.115</v>
      </c>
      <c r="HP34" s="145">
        <v>0.154</v>
      </c>
      <c r="HQ34" s="145">
        <v>0.21</v>
      </c>
      <c r="HR34" s="145">
        <v>0.19600000000000001</v>
      </c>
      <c r="HS34" s="145">
        <v>0.16800000000000001</v>
      </c>
      <c r="HT34" s="145">
        <v>0.17</v>
      </c>
      <c r="HU34" s="145">
        <v>0.16400000000000001</v>
      </c>
      <c r="HV34" s="145">
        <v>0.16300000000000001</v>
      </c>
      <c r="HW34" s="145">
        <v>0.18099999999999999</v>
      </c>
      <c r="HX34" s="145">
        <v>0.115</v>
      </c>
      <c r="HY34" s="145">
        <v>0.13500000000000001</v>
      </c>
      <c r="HZ34" s="145">
        <v>0.2</v>
      </c>
      <c r="IA34" s="145">
        <v>0.20599999999999999</v>
      </c>
      <c r="IB34" s="145">
        <v>0.214</v>
      </c>
      <c r="IC34" s="145">
        <v>0.217</v>
      </c>
      <c r="ID34" s="145">
        <v>0.18</v>
      </c>
      <c r="IE34" s="145">
        <v>0.18</v>
      </c>
      <c r="IF34" s="145">
        <v>0.13100000000000001</v>
      </c>
      <c r="IG34" s="145">
        <v>0.15</v>
      </c>
      <c r="IH34" s="145">
        <v>0.15</v>
      </c>
      <c r="II34" s="145">
        <v>0.188</v>
      </c>
      <c r="IJ34" s="145">
        <v>0.159</v>
      </c>
      <c r="IK34" s="145">
        <v>0.19400000000000001</v>
      </c>
      <c r="IL34" s="145">
        <v>0.23100000000000001</v>
      </c>
      <c r="IM34" s="145">
        <v>0.28799999999999998</v>
      </c>
      <c r="IN34" s="145">
        <v>0.32100000000000001</v>
      </c>
      <c r="IO34" s="145">
        <v>0.42399999999999999</v>
      </c>
      <c r="IP34" s="145">
        <v>0.32700000000000001</v>
      </c>
      <c r="IQ34" s="145">
        <v>0.36399999999999999</v>
      </c>
      <c r="IR34" s="145">
        <v>0.31</v>
      </c>
      <c r="IS34" s="145">
        <v>0.29899999999999999</v>
      </c>
      <c r="IT34" s="145">
        <v>0.246</v>
      </c>
      <c r="IU34" s="145">
        <v>0.32400000000000001</v>
      </c>
      <c r="IV34" s="145">
        <v>0.253</v>
      </c>
      <c r="IW34" s="145">
        <v>0.315</v>
      </c>
      <c r="IX34" s="145">
        <v>0.442</v>
      </c>
      <c r="IY34" s="145">
        <v>0.53600000000000003</v>
      </c>
      <c r="IZ34" s="145">
        <v>0.59899999999999998</v>
      </c>
      <c r="JA34" s="145">
        <v>0.53700000000000003</v>
      </c>
      <c r="JB34" s="145">
        <v>0.46200000000000002</v>
      </c>
      <c r="JC34" s="145">
        <v>0.48399999999999999</v>
      </c>
      <c r="JD34" s="145">
        <v>0.39300000000000002</v>
      </c>
      <c r="JE34" s="145">
        <v>0.35599999999999998</v>
      </c>
      <c r="JF34" s="145">
        <v>0.33200000000000002</v>
      </c>
      <c r="JG34" s="145">
        <v>0.38100000000000001</v>
      </c>
      <c r="JH34" s="145">
        <v>0.307</v>
      </c>
      <c r="JI34" s="145">
        <v>0.35299999999999998</v>
      </c>
      <c r="JJ34" s="145">
        <v>0.45100000000000001</v>
      </c>
      <c r="JK34" s="145">
        <v>0.504</v>
      </c>
      <c r="JL34" s="145">
        <v>0.50700000000000001</v>
      </c>
      <c r="JM34" s="145">
        <v>0.52300000000000002</v>
      </c>
      <c r="JN34" s="145">
        <v>0.495</v>
      </c>
      <c r="JO34" s="145">
        <v>0.34699999999999998</v>
      </c>
      <c r="JP34" s="145">
        <v>0.28299999999999997</v>
      </c>
      <c r="JQ34" s="145">
        <v>0.223</v>
      </c>
      <c r="JR34" s="145">
        <v>0.222</v>
      </c>
      <c r="JS34" s="145">
        <v>0.23</v>
      </c>
      <c r="JT34" s="145">
        <v>0.154</v>
      </c>
      <c r="JU34" s="145">
        <v>0.17100000000000001</v>
      </c>
      <c r="JV34" s="145">
        <v>0.19500000000000001</v>
      </c>
      <c r="JW34" s="145">
        <v>0.23300000000000001</v>
      </c>
      <c r="JX34" s="145">
        <v>0.22800000000000001</v>
      </c>
      <c r="JY34" s="145">
        <v>0.27500000000000002</v>
      </c>
      <c r="JZ34" s="145">
        <v>0.26500000000000001</v>
      </c>
      <c r="KA34" s="145">
        <v>0.25</v>
      </c>
      <c r="KB34" s="145">
        <v>0.245</v>
      </c>
      <c r="KC34" s="145">
        <v>0.21199999999999999</v>
      </c>
      <c r="KD34" s="145">
        <v>0.161</v>
      </c>
      <c r="KE34" s="145">
        <v>0.25</v>
      </c>
      <c r="KF34" s="145">
        <v>0.17799999999999999</v>
      </c>
      <c r="KG34" s="145">
        <v>0.17899999999999999</v>
      </c>
      <c r="KH34" s="145">
        <v>0.27900000000000003</v>
      </c>
      <c r="KI34" s="145">
        <v>0.28000000000000003</v>
      </c>
      <c r="KJ34" s="145">
        <v>0.28799999999999998</v>
      </c>
      <c r="KK34" s="145">
        <v>0.311</v>
      </c>
      <c r="KL34" s="145">
        <v>0.34599999999999997</v>
      </c>
      <c r="KM34" s="145">
        <v>0.29099999999999998</v>
      </c>
      <c r="KN34" s="145">
        <v>0.308</v>
      </c>
      <c r="KO34" s="145">
        <v>0.25600000000000001</v>
      </c>
      <c r="KP34" s="145">
        <v>0.2</v>
      </c>
      <c r="KQ34" s="145">
        <v>0.24099999999999999</v>
      </c>
      <c r="KR34" s="145">
        <v>0.157</v>
      </c>
      <c r="KS34" s="145">
        <v>0.16900000000000001</v>
      </c>
      <c r="KT34" s="145">
        <v>0.253</v>
      </c>
      <c r="KU34" s="145">
        <v>0.28199999999999997</v>
      </c>
      <c r="KV34" s="145">
        <v>0.27900000000000003</v>
      </c>
      <c r="KW34" s="145">
        <v>0.31900000000000001</v>
      </c>
      <c r="KX34" s="145">
        <v>0.26700000000000002</v>
      </c>
      <c r="KY34" s="145">
        <v>0.34499999999999997</v>
      </c>
      <c r="KZ34" s="145">
        <v>0.29199999999999998</v>
      </c>
      <c r="LA34" s="145">
        <v>0.25900000000000001</v>
      </c>
      <c r="LB34" s="145">
        <v>0.23899999999999999</v>
      </c>
      <c r="LC34" s="145">
        <v>0.27700000000000002</v>
      </c>
      <c r="LD34" s="145">
        <v>0.23599999999999999</v>
      </c>
      <c r="LE34" s="145">
        <v>0.23100000000000001</v>
      </c>
      <c r="LF34" s="145">
        <v>0.316</v>
      </c>
      <c r="LG34" s="145">
        <v>0.311</v>
      </c>
      <c r="LH34" s="145">
        <v>0.38</v>
      </c>
      <c r="LI34" s="145">
        <v>0.373</v>
      </c>
      <c r="LJ34" s="145">
        <v>0.32100000000000001</v>
      </c>
      <c r="LK34" s="145">
        <v>0.34499999999999997</v>
      </c>
      <c r="LL34" s="145">
        <v>0.28399999999999997</v>
      </c>
      <c r="LM34" s="145">
        <v>0.30399999999999999</v>
      </c>
      <c r="LN34" s="145">
        <v>0.29299999999999998</v>
      </c>
      <c r="LO34" s="145">
        <v>0.33500000000000002</v>
      </c>
      <c r="LP34" s="145">
        <v>0.28799999999999998</v>
      </c>
      <c r="LQ34" s="145">
        <v>0.33200000000000002</v>
      </c>
      <c r="LR34" s="145">
        <v>0.374</v>
      </c>
      <c r="LS34" s="145">
        <v>0.39500000000000002</v>
      </c>
      <c r="LT34" s="145">
        <v>0.49099999999999999</v>
      </c>
      <c r="LU34" s="145">
        <v>0.47</v>
      </c>
      <c r="LV34" s="145">
        <v>0.46100000000000002</v>
      </c>
      <c r="LW34" s="145">
        <v>0.39900000000000002</v>
      </c>
      <c r="LX34" s="145">
        <v>0.29499999999999998</v>
      </c>
      <c r="LY34" s="145">
        <v>0.30499999999999999</v>
      </c>
      <c r="LZ34" s="145">
        <v>0.29299999999999998</v>
      </c>
      <c r="MA34" s="145">
        <v>0.311</v>
      </c>
      <c r="MB34" s="145">
        <v>0.26100000000000001</v>
      </c>
      <c r="MC34" s="145">
        <v>0.27700000000000002</v>
      </c>
      <c r="MD34" s="145">
        <v>0.33900000000000002</v>
      </c>
      <c r="ME34" s="145">
        <v>0.40200000000000002</v>
      </c>
      <c r="MF34" s="145">
        <v>0.51</v>
      </c>
      <c r="MG34" s="145">
        <v>0.48799999999999999</v>
      </c>
      <c r="MH34" s="145">
        <v>0.55900000000000005</v>
      </c>
      <c r="MI34" s="145">
        <v>0.61799999999999999</v>
      </c>
      <c r="MJ34" s="145">
        <v>0.60199999999999998</v>
      </c>
      <c r="MK34" s="145">
        <v>0.55700000000000005</v>
      </c>
      <c r="ML34" s="145">
        <v>0.44900000000000001</v>
      </c>
      <c r="MM34" s="145">
        <v>0.66400000000000003</v>
      </c>
      <c r="MN34" s="145">
        <v>0.51200000000000001</v>
      </c>
      <c r="MO34" s="145">
        <v>0.69</v>
      </c>
      <c r="MP34" s="145">
        <v>0.56999999999999995</v>
      </c>
      <c r="MQ34" s="145">
        <v>0.379</v>
      </c>
      <c r="MR34" s="145">
        <v>0.46100000000000002</v>
      </c>
      <c r="MS34" s="145">
        <v>0.95899999999999996</v>
      </c>
      <c r="MT34" s="145">
        <v>1.0860000000000001</v>
      </c>
      <c r="MU34" s="145">
        <v>1.1140000000000001</v>
      </c>
      <c r="MV34" s="145">
        <v>0.99199999999999999</v>
      </c>
      <c r="MW34" s="145">
        <v>1.1359999999999999</v>
      </c>
      <c r="MX34" s="145">
        <v>1.3260000000000001</v>
      </c>
      <c r="MY34" s="145">
        <v>2.1150000000000002</v>
      </c>
      <c r="MZ34" s="145">
        <v>2.383</v>
      </c>
      <c r="NA34" s="145">
        <v>3.097</v>
      </c>
      <c r="NB34" s="145">
        <v>3.3610000000000002</v>
      </c>
      <c r="NC34" s="145">
        <v>2.2730000000000001</v>
      </c>
      <c r="ND34" s="145">
        <v>2.5099999999999998</v>
      </c>
      <c r="NE34" s="145">
        <v>1.889</v>
      </c>
      <c r="NF34" s="145">
        <v>1.488</v>
      </c>
      <c r="NG34" s="145">
        <v>1.351</v>
      </c>
      <c r="NH34" s="145">
        <v>1.2</v>
      </c>
      <c r="NI34" s="145">
        <v>1.3120000000000001</v>
      </c>
      <c r="NJ34" s="145">
        <v>1.8480000000000001</v>
      </c>
      <c r="NK34" s="145">
        <v>1.8480000000000001</v>
      </c>
      <c r="NL34" s="145">
        <v>2.4380000000000002</v>
      </c>
      <c r="NM34" s="145">
        <v>2.5110000000000001</v>
      </c>
      <c r="NN34" s="145">
        <v>2.8849999999999998</v>
      </c>
      <c r="NO34" s="145">
        <v>2.1819999999999999</v>
      </c>
      <c r="NP34" s="145">
        <v>1.0569999999999999</v>
      </c>
      <c r="NQ34" s="145">
        <v>0.53800000000000003</v>
      </c>
      <c r="NR34" s="145">
        <v>0.27300000000000002</v>
      </c>
      <c r="NS34" s="145">
        <v>0.39400000000000002</v>
      </c>
      <c r="NT34" s="145">
        <v>0.33900000000000002</v>
      </c>
      <c r="NU34" s="145">
        <v>0.28599999999999998</v>
      </c>
      <c r="NV34" s="145">
        <v>0.315</v>
      </c>
      <c r="NW34" s="145">
        <v>0.371</v>
      </c>
      <c r="NX34" s="145">
        <v>0.29399999999999998</v>
      </c>
      <c r="NY34" s="145">
        <v>0.34100000000000003</v>
      </c>
      <c r="NZ34" s="145">
        <v>0.58299999999999996</v>
      </c>
      <c r="OA34" s="145">
        <v>0.49199999999999999</v>
      </c>
      <c r="OB34" s="145">
        <v>0.69699999999999995</v>
      </c>
      <c r="OC34" s="145">
        <v>0.746</v>
      </c>
      <c r="OD34" s="145">
        <v>0.51900000000000002</v>
      </c>
      <c r="OE34" s="145">
        <v>0.54400000000000004</v>
      </c>
      <c r="OF34" s="145">
        <v>0.438</v>
      </c>
      <c r="OG34" s="145">
        <v>0.32400000000000001</v>
      </c>
      <c r="OH34" s="145">
        <v>0.38800000000000001</v>
      </c>
      <c r="OI34" s="145">
        <v>0.51200000000000001</v>
      </c>
      <c r="OJ34" s="145">
        <v>0.39500000000000002</v>
      </c>
      <c r="OK34" s="145">
        <v>0.439</v>
      </c>
      <c r="OL34" s="145">
        <v>0.48499999999999999</v>
      </c>
    </row>
    <row r="35" spans="1:402" ht="14.5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8" t="s">
        <v>41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T35" s="2"/>
      <c r="GU35" s="2"/>
      <c r="GV35" s="3"/>
      <c r="GW35" s="3"/>
      <c r="GX35" s="3"/>
      <c r="GY35" s="3"/>
      <c r="GZ35" s="3"/>
      <c r="HA35" s="3"/>
      <c r="HB35" s="3"/>
      <c r="HC35" s="3"/>
      <c r="HD35" s="3"/>
      <c r="HE35" s="3"/>
    </row>
    <row r="36" spans="1:402" s="32" customFormat="1" ht="21" customHeight="1" x14ac:dyDescent="0.25">
      <c r="A36" s="28"/>
      <c r="B36" s="29"/>
      <c r="C36" s="29"/>
      <c r="D36" s="29"/>
      <c r="E36" s="29"/>
      <c r="F36" s="29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1"/>
      <c r="GZ36" s="31"/>
      <c r="HA36" s="31"/>
      <c r="HB36" s="31"/>
      <c r="HC36" s="31"/>
      <c r="HD36" s="31"/>
      <c r="HE36" s="31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</row>
    <row r="37" spans="1:402" s="32" customFormat="1" ht="21" customHeight="1" x14ac:dyDescent="0.35">
      <c r="A37" s="8" t="s">
        <v>44</v>
      </c>
      <c r="B37" s="34"/>
      <c r="C37" s="34"/>
      <c r="D37" s="34"/>
      <c r="E37" s="34"/>
      <c r="F37" s="34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 t="s">
        <v>45</v>
      </c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6"/>
      <c r="GT37" s="37"/>
      <c r="GU37" s="37"/>
      <c r="GV37" s="37"/>
      <c r="GW37" s="37"/>
      <c r="GX37" s="37"/>
      <c r="GY37" s="37"/>
      <c r="GZ37" s="38"/>
      <c r="HA37" s="38"/>
      <c r="HB37" s="38"/>
      <c r="HC37" s="38"/>
      <c r="HD37" s="38"/>
      <c r="HE37" s="38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</row>
    <row r="38" spans="1:402" s="40" customFormat="1" ht="18.5" thickBot="1" x14ac:dyDescent="0.45"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U38" s="1" t="s">
        <v>2</v>
      </c>
      <c r="GZ38" s="41"/>
      <c r="HA38" s="41"/>
      <c r="HB38" s="41"/>
      <c r="HC38" s="41"/>
      <c r="HD38" s="41"/>
      <c r="HE38" s="41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</row>
    <row r="39" spans="1:402" x14ac:dyDescent="0.35">
      <c r="B39" s="179">
        <v>2007</v>
      </c>
      <c r="C39" s="179"/>
      <c r="D39" s="179"/>
      <c r="E39" s="180"/>
      <c r="F39" s="181">
        <v>2008</v>
      </c>
      <c r="G39" s="182"/>
      <c r="H39" s="182"/>
      <c r="I39" s="182"/>
      <c r="J39" s="182"/>
      <c r="K39" s="182"/>
      <c r="L39" s="17"/>
      <c r="M39" s="17"/>
      <c r="N39" s="17"/>
      <c r="O39" s="17"/>
      <c r="P39" s="17"/>
      <c r="Q39" s="17"/>
      <c r="R39" s="19">
        <v>2009</v>
      </c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9">
        <v>2010</v>
      </c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>
        <v>2011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9">
        <v>2012</v>
      </c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9">
        <v>2013</v>
      </c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>
        <v>2014</v>
      </c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>
        <v>2015</v>
      </c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9">
        <v>2016</v>
      </c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9">
        <v>2017</v>
      </c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>
        <v>2018</v>
      </c>
      <c r="DW39" s="19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9">
        <v>2019</v>
      </c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9">
        <v>2020</v>
      </c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9">
        <v>2021</v>
      </c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>
        <v>2022</v>
      </c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>
        <v>2023</v>
      </c>
      <c r="GE39" s="19"/>
      <c r="GF39" s="16"/>
      <c r="GG39" s="19">
        <v>2023</v>
      </c>
      <c r="GH39" s="16"/>
      <c r="GI39" s="16"/>
      <c r="GJ39" s="16"/>
      <c r="GK39" s="16"/>
      <c r="GL39" s="16"/>
      <c r="GM39" s="16"/>
      <c r="GN39" s="16"/>
      <c r="GO39" s="16"/>
      <c r="GP39" s="19">
        <v>2024</v>
      </c>
      <c r="GQ39" s="19"/>
      <c r="GR39" s="183"/>
      <c r="GS39" s="13"/>
      <c r="GV39" s="13">
        <v>2007</v>
      </c>
      <c r="GW39" s="13"/>
      <c r="GX39" s="13"/>
      <c r="GY39" s="14"/>
      <c r="GZ39" s="15">
        <v>2008</v>
      </c>
      <c r="HA39" s="16"/>
      <c r="HB39" s="17"/>
      <c r="HC39" s="16"/>
      <c r="HD39" s="16"/>
      <c r="HE39" s="16"/>
      <c r="HF39" s="18"/>
      <c r="HG39" s="18"/>
      <c r="HH39" s="18"/>
      <c r="HI39" s="18"/>
      <c r="HJ39" s="18"/>
      <c r="HK39" s="18"/>
      <c r="HL39" s="19">
        <v>2009</v>
      </c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>
        <v>2010</v>
      </c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>
        <v>2011</v>
      </c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>
        <v>2012</v>
      </c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>
        <v>2013</v>
      </c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>
        <v>2014</v>
      </c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>
        <v>2015</v>
      </c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>
        <v>2016</v>
      </c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>
        <v>2017</v>
      </c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>
        <v>2018</v>
      </c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>
        <v>2019</v>
      </c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>
        <v>2020</v>
      </c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>
        <v>2021</v>
      </c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>
        <v>2022</v>
      </c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>
        <v>2023</v>
      </c>
      <c r="NY39" s="19"/>
      <c r="NZ39" s="19"/>
      <c r="OA39" s="19">
        <v>2023</v>
      </c>
      <c r="OB39" s="19"/>
      <c r="OC39" s="19"/>
      <c r="OD39" s="19"/>
      <c r="OE39" s="19"/>
      <c r="OF39" s="19"/>
      <c r="OG39" s="19"/>
      <c r="OH39" s="19"/>
      <c r="OI39" s="19"/>
      <c r="OJ39" s="19">
        <v>2024</v>
      </c>
      <c r="OK39" s="19"/>
      <c r="OL39" s="19"/>
    </row>
    <row r="40" spans="1:402" x14ac:dyDescent="0.35">
      <c r="B40" s="20" t="s">
        <v>3</v>
      </c>
      <c r="C40" s="20" t="s">
        <v>4</v>
      </c>
      <c r="D40" s="20" t="s">
        <v>5</v>
      </c>
      <c r="E40" s="20" t="s">
        <v>6</v>
      </c>
      <c r="F40" s="20" t="s">
        <v>7</v>
      </c>
      <c r="G40" s="20" t="s">
        <v>8</v>
      </c>
      <c r="H40" s="20" t="s">
        <v>9</v>
      </c>
      <c r="I40" s="20" t="s">
        <v>10</v>
      </c>
      <c r="J40" s="20" t="s">
        <v>11</v>
      </c>
      <c r="K40" s="20" t="s">
        <v>12</v>
      </c>
      <c r="L40" s="20" t="s">
        <v>13</v>
      </c>
      <c r="M40" s="20" t="s">
        <v>14</v>
      </c>
      <c r="N40" s="20" t="s">
        <v>3</v>
      </c>
      <c r="O40" s="20" t="s">
        <v>4</v>
      </c>
      <c r="P40" s="20" t="s">
        <v>5</v>
      </c>
      <c r="Q40" s="20" t="s">
        <v>15</v>
      </c>
      <c r="R40" s="22" t="s">
        <v>7</v>
      </c>
      <c r="S40" s="22" t="s">
        <v>8</v>
      </c>
      <c r="T40" s="22" t="s">
        <v>9</v>
      </c>
      <c r="U40" s="22" t="s">
        <v>10</v>
      </c>
      <c r="V40" s="22" t="s">
        <v>11</v>
      </c>
      <c r="W40" s="22" t="s">
        <v>12</v>
      </c>
      <c r="X40" s="22" t="s">
        <v>13</v>
      </c>
      <c r="Y40" s="22" t="s">
        <v>14</v>
      </c>
      <c r="Z40" s="22" t="s">
        <v>16</v>
      </c>
      <c r="AA40" s="22" t="s">
        <v>4</v>
      </c>
      <c r="AB40" s="22" t="s">
        <v>5</v>
      </c>
      <c r="AC40" s="22" t="s">
        <v>6</v>
      </c>
      <c r="AD40" s="22" t="s">
        <v>17</v>
      </c>
      <c r="AE40" s="22" t="s">
        <v>8</v>
      </c>
      <c r="AF40" s="22" t="s">
        <v>18</v>
      </c>
      <c r="AG40" s="22" t="s">
        <v>10</v>
      </c>
      <c r="AH40" s="22" t="s">
        <v>11</v>
      </c>
      <c r="AI40" s="22" t="s">
        <v>12</v>
      </c>
      <c r="AJ40" s="22" t="s">
        <v>13</v>
      </c>
      <c r="AK40" s="22" t="s">
        <v>14</v>
      </c>
      <c r="AL40" s="22" t="s">
        <v>16</v>
      </c>
      <c r="AM40" s="22" t="s">
        <v>19</v>
      </c>
      <c r="AN40" s="22" t="s">
        <v>5</v>
      </c>
      <c r="AO40" s="22" t="s">
        <v>6</v>
      </c>
      <c r="AP40" s="22" t="s">
        <v>7</v>
      </c>
      <c r="AQ40" s="22" t="s">
        <v>8</v>
      </c>
      <c r="AR40" s="22" t="s">
        <v>9</v>
      </c>
      <c r="AS40" s="22" t="s">
        <v>10</v>
      </c>
      <c r="AT40" s="22" t="s">
        <v>11</v>
      </c>
      <c r="AU40" s="22" t="s">
        <v>12</v>
      </c>
      <c r="AV40" s="22" t="s">
        <v>13</v>
      </c>
      <c r="AW40" s="22" t="s">
        <v>14</v>
      </c>
      <c r="AX40" s="22" t="s">
        <v>3</v>
      </c>
      <c r="AY40" s="22" t="s">
        <v>4</v>
      </c>
      <c r="AZ40" s="22" t="s">
        <v>5</v>
      </c>
      <c r="BA40" s="22" t="s">
        <v>15</v>
      </c>
      <c r="BB40" s="22" t="s">
        <v>7</v>
      </c>
      <c r="BC40" s="22" t="s">
        <v>8</v>
      </c>
      <c r="BD40" s="22" t="s">
        <v>18</v>
      </c>
      <c r="BE40" s="22" t="s">
        <v>10</v>
      </c>
      <c r="BF40" s="22" t="s">
        <v>11</v>
      </c>
      <c r="BG40" s="22" t="s">
        <v>12</v>
      </c>
      <c r="BH40" s="22" t="s">
        <v>20</v>
      </c>
      <c r="BI40" s="22" t="s">
        <v>21</v>
      </c>
      <c r="BJ40" s="22" t="s">
        <v>16</v>
      </c>
      <c r="BK40" s="22" t="s">
        <v>19</v>
      </c>
      <c r="BL40" s="22" t="s">
        <v>5</v>
      </c>
      <c r="BM40" s="22" t="s">
        <v>15</v>
      </c>
      <c r="BN40" s="22" t="s">
        <v>7</v>
      </c>
      <c r="BO40" s="22" t="s">
        <v>8</v>
      </c>
      <c r="BP40" s="22" t="s">
        <v>9</v>
      </c>
      <c r="BQ40" s="22" t="s">
        <v>10</v>
      </c>
      <c r="BR40" s="22" t="s">
        <v>11</v>
      </c>
      <c r="BS40" s="22" t="s">
        <v>12</v>
      </c>
      <c r="BT40" s="22" t="s">
        <v>20</v>
      </c>
      <c r="BU40" s="22" t="s">
        <v>21</v>
      </c>
      <c r="BV40" s="22" t="s">
        <v>22</v>
      </c>
      <c r="BW40" s="22" t="s">
        <v>4</v>
      </c>
      <c r="BX40" s="22" t="s">
        <v>5</v>
      </c>
      <c r="BY40" s="22" t="s">
        <v>6</v>
      </c>
      <c r="BZ40" s="22" t="s">
        <v>17</v>
      </c>
      <c r="CA40" s="22" t="s">
        <v>23</v>
      </c>
      <c r="CB40" s="22" t="s">
        <v>18</v>
      </c>
      <c r="CC40" s="22" t="s">
        <v>24</v>
      </c>
      <c r="CD40" s="22" t="s">
        <v>11</v>
      </c>
      <c r="CE40" s="22" t="s">
        <v>12</v>
      </c>
      <c r="CF40" s="22" t="s">
        <v>13</v>
      </c>
      <c r="CG40" s="22" t="s">
        <v>14</v>
      </c>
      <c r="CH40" s="22" t="s">
        <v>16</v>
      </c>
      <c r="CI40" s="22" t="s">
        <v>4</v>
      </c>
      <c r="CJ40" s="22" t="s">
        <v>5</v>
      </c>
      <c r="CK40" s="22" t="s">
        <v>6</v>
      </c>
      <c r="CL40" s="22" t="s">
        <v>7</v>
      </c>
      <c r="CM40" s="22" t="s">
        <v>8</v>
      </c>
      <c r="CN40" s="22" t="s">
        <v>18</v>
      </c>
      <c r="CO40" s="22" t="s">
        <v>10</v>
      </c>
      <c r="CP40" s="22" t="s">
        <v>11</v>
      </c>
      <c r="CQ40" s="22" t="s">
        <v>12</v>
      </c>
      <c r="CR40" s="22" t="s">
        <v>20</v>
      </c>
      <c r="CS40" s="22" t="s">
        <v>14</v>
      </c>
      <c r="CT40" s="22" t="s">
        <v>22</v>
      </c>
      <c r="CU40" s="22" t="s">
        <v>19</v>
      </c>
      <c r="CV40" s="22" t="s">
        <v>5</v>
      </c>
      <c r="CW40" s="22" t="s">
        <v>15</v>
      </c>
      <c r="CX40" s="22" t="s">
        <v>7</v>
      </c>
      <c r="CY40" s="22" t="s">
        <v>23</v>
      </c>
      <c r="CZ40" s="22" t="s">
        <v>18</v>
      </c>
      <c r="DA40" s="22" t="s">
        <v>24</v>
      </c>
      <c r="DB40" s="22" t="s">
        <v>11</v>
      </c>
      <c r="DC40" s="22" t="s">
        <v>12</v>
      </c>
      <c r="DD40" s="22" t="s">
        <v>13</v>
      </c>
      <c r="DE40" s="22" t="s">
        <v>14</v>
      </c>
      <c r="DF40" s="22" t="s">
        <v>16</v>
      </c>
      <c r="DG40" s="22" t="s">
        <v>4</v>
      </c>
      <c r="DH40" s="22" t="s">
        <v>5</v>
      </c>
      <c r="DI40" s="22" t="s">
        <v>15</v>
      </c>
      <c r="DJ40" s="22" t="s">
        <v>7</v>
      </c>
      <c r="DK40" s="22" t="s">
        <v>8</v>
      </c>
      <c r="DL40" s="22" t="s">
        <v>18</v>
      </c>
      <c r="DM40" s="22" t="s">
        <v>24</v>
      </c>
      <c r="DN40" s="22" t="s">
        <v>11</v>
      </c>
      <c r="DO40" s="22" t="s">
        <v>12</v>
      </c>
      <c r="DP40" s="22" t="s">
        <v>20</v>
      </c>
      <c r="DQ40" s="22" t="s">
        <v>14</v>
      </c>
      <c r="DR40" s="22" t="s">
        <v>22</v>
      </c>
      <c r="DS40" s="22" t="s">
        <v>19</v>
      </c>
      <c r="DT40" s="22" t="s">
        <v>5</v>
      </c>
      <c r="DU40" s="22" t="s">
        <v>15</v>
      </c>
      <c r="DV40" s="22" t="s">
        <v>7</v>
      </c>
      <c r="DW40" s="22" t="s">
        <v>8</v>
      </c>
      <c r="DX40" s="22" t="s">
        <v>18</v>
      </c>
      <c r="DY40" s="22" t="s">
        <v>24</v>
      </c>
      <c r="DZ40" s="22" t="s">
        <v>11</v>
      </c>
      <c r="EA40" s="22" t="s">
        <v>12</v>
      </c>
      <c r="EB40" s="22" t="s">
        <v>20</v>
      </c>
      <c r="EC40" s="22" t="s">
        <v>21</v>
      </c>
      <c r="ED40" s="22" t="s">
        <v>22</v>
      </c>
      <c r="EE40" s="22" t="s">
        <v>4</v>
      </c>
      <c r="EF40" s="22" t="s">
        <v>5</v>
      </c>
      <c r="EG40" s="22" t="s">
        <v>15</v>
      </c>
      <c r="EH40" s="22" t="s">
        <v>17</v>
      </c>
      <c r="EI40" s="22" t="s">
        <v>23</v>
      </c>
      <c r="EJ40" s="22" t="s">
        <v>18</v>
      </c>
      <c r="EK40" s="22" t="s">
        <v>24</v>
      </c>
      <c r="EL40" s="22" t="s">
        <v>11</v>
      </c>
      <c r="EM40" s="22" t="s">
        <v>12</v>
      </c>
      <c r="EN40" s="22" t="s">
        <v>20</v>
      </c>
      <c r="EO40" s="22" t="s">
        <v>21</v>
      </c>
      <c r="EP40" s="22" t="s">
        <v>22</v>
      </c>
      <c r="EQ40" s="22" t="s">
        <v>4</v>
      </c>
      <c r="ER40" s="22" t="s">
        <v>5</v>
      </c>
      <c r="ES40" s="22" t="s">
        <v>6</v>
      </c>
      <c r="ET40" s="22" t="s">
        <v>17</v>
      </c>
      <c r="EU40" s="22" t="s">
        <v>8</v>
      </c>
      <c r="EV40" s="22" t="s">
        <v>18</v>
      </c>
      <c r="EW40" s="22" t="s">
        <v>24</v>
      </c>
      <c r="EX40" s="22" t="s">
        <v>11</v>
      </c>
      <c r="EY40" s="22" t="s">
        <v>12</v>
      </c>
      <c r="EZ40" s="22" t="s">
        <v>20</v>
      </c>
      <c r="FA40" s="22" t="s">
        <v>14</v>
      </c>
      <c r="FB40" s="22" t="s">
        <v>22</v>
      </c>
      <c r="FC40" s="22" t="s">
        <v>4</v>
      </c>
      <c r="FD40" s="22" t="s">
        <v>5</v>
      </c>
      <c r="FE40" s="22" t="s">
        <v>6</v>
      </c>
      <c r="FF40" s="22" t="s">
        <v>7</v>
      </c>
      <c r="FG40" s="22" t="s">
        <v>8</v>
      </c>
      <c r="FH40" s="22" t="s">
        <v>9</v>
      </c>
      <c r="FI40" s="22" t="s">
        <v>24</v>
      </c>
      <c r="FJ40" s="22" t="s">
        <v>11</v>
      </c>
      <c r="FK40" s="22" t="s">
        <v>12</v>
      </c>
      <c r="FL40" s="22" t="s">
        <v>20</v>
      </c>
      <c r="FM40" s="22" t="s">
        <v>14</v>
      </c>
      <c r="FN40" s="22" t="s">
        <v>22</v>
      </c>
      <c r="FO40" s="22" t="s">
        <v>19</v>
      </c>
      <c r="FP40" s="22" t="s">
        <v>27</v>
      </c>
      <c r="FQ40" s="22" t="s">
        <v>15</v>
      </c>
      <c r="FR40" s="22" t="s">
        <v>7</v>
      </c>
      <c r="FS40" s="22" t="s">
        <v>8</v>
      </c>
      <c r="FT40" s="22" t="s">
        <v>9</v>
      </c>
      <c r="FU40" s="22" t="s">
        <v>10</v>
      </c>
      <c r="FV40" s="22" t="s">
        <v>11</v>
      </c>
      <c r="FW40" s="22" t="s">
        <v>12</v>
      </c>
      <c r="FX40" s="22" t="s">
        <v>20</v>
      </c>
      <c r="FY40" s="22" t="s">
        <v>14</v>
      </c>
      <c r="FZ40" s="22" t="s">
        <v>16</v>
      </c>
      <c r="GA40" s="22" t="s">
        <v>19</v>
      </c>
      <c r="GB40" s="22" t="s">
        <v>5</v>
      </c>
      <c r="GC40" s="22" t="s">
        <v>6</v>
      </c>
      <c r="GD40" s="22" t="s">
        <v>7</v>
      </c>
      <c r="GE40" s="22" t="s">
        <v>8</v>
      </c>
      <c r="GF40" s="22" t="s">
        <v>18</v>
      </c>
      <c r="GG40" s="22" t="s">
        <v>24</v>
      </c>
      <c r="GH40" s="22" t="s">
        <v>11</v>
      </c>
      <c r="GI40" s="22" t="s">
        <v>12</v>
      </c>
      <c r="GJ40" s="22" t="s">
        <v>13</v>
      </c>
      <c r="GK40" s="22" t="s">
        <v>14</v>
      </c>
      <c r="GL40" s="22" t="s">
        <v>22</v>
      </c>
      <c r="GM40" s="22" t="s">
        <v>4</v>
      </c>
      <c r="GN40" s="22" t="s">
        <v>5</v>
      </c>
      <c r="GO40" s="22" t="s">
        <v>6</v>
      </c>
      <c r="GP40" s="22" t="s">
        <v>7</v>
      </c>
      <c r="GQ40" s="22" t="s">
        <v>8</v>
      </c>
      <c r="GR40" s="22" t="s">
        <v>18</v>
      </c>
      <c r="GS40" s="22" t="s">
        <v>25</v>
      </c>
      <c r="GT40" s="2"/>
      <c r="GU40" s="2"/>
      <c r="GV40" s="20" t="s">
        <v>3</v>
      </c>
      <c r="GW40" s="21" t="s">
        <v>4</v>
      </c>
      <c r="GX40" s="20" t="s">
        <v>5</v>
      </c>
      <c r="GY40" s="20" t="s">
        <v>6</v>
      </c>
      <c r="GZ40" s="20" t="s">
        <v>7</v>
      </c>
      <c r="HA40" s="20" t="s">
        <v>8</v>
      </c>
      <c r="HB40" s="20" t="s">
        <v>9</v>
      </c>
      <c r="HC40" s="20" t="s">
        <v>10</v>
      </c>
      <c r="HD40" s="20" t="s">
        <v>11</v>
      </c>
      <c r="HE40" s="20" t="s">
        <v>12</v>
      </c>
      <c r="HF40" s="20" t="s">
        <v>13</v>
      </c>
      <c r="HG40" s="20" t="s">
        <v>14</v>
      </c>
      <c r="HH40" s="20" t="s">
        <v>3</v>
      </c>
      <c r="HI40" s="20" t="s">
        <v>4</v>
      </c>
      <c r="HJ40" s="20" t="s">
        <v>5</v>
      </c>
      <c r="HK40" s="20" t="s">
        <v>15</v>
      </c>
      <c r="HL40" s="22" t="s">
        <v>7</v>
      </c>
      <c r="HM40" s="22" t="s">
        <v>8</v>
      </c>
      <c r="HN40" s="22" t="s">
        <v>9</v>
      </c>
      <c r="HO40" s="22" t="s">
        <v>10</v>
      </c>
      <c r="HP40" s="22" t="s">
        <v>11</v>
      </c>
      <c r="HQ40" s="22" t="s">
        <v>12</v>
      </c>
      <c r="HR40" s="22" t="s">
        <v>13</v>
      </c>
      <c r="HS40" s="22" t="s">
        <v>14</v>
      </c>
      <c r="HT40" s="22" t="s">
        <v>16</v>
      </c>
      <c r="HU40" s="22" t="s">
        <v>4</v>
      </c>
      <c r="HV40" s="22" t="s">
        <v>5</v>
      </c>
      <c r="HW40" s="22" t="s">
        <v>6</v>
      </c>
      <c r="HX40" s="22" t="s">
        <v>17</v>
      </c>
      <c r="HY40" s="22" t="s">
        <v>8</v>
      </c>
      <c r="HZ40" s="22" t="s">
        <v>18</v>
      </c>
      <c r="IA40" s="22" t="s">
        <v>10</v>
      </c>
      <c r="IB40" s="22" t="s">
        <v>11</v>
      </c>
      <c r="IC40" s="22" t="s">
        <v>12</v>
      </c>
      <c r="ID40" s="22" t="s">
        <v>13</v>
      </c>
      <c r="IE40" s="22" t="s">
        <v>26</v>
      </c>
      <c r="IF40" s="22" t="s">
        <v>16</v>
      </c>
      <c r="IG40" s="22" t="s">
        <v>4</v>
      </c>
      <c r="IH40" s="22" t="s">
        <v>5</v>
      </c>
      <c r="II40" s="22" t="s">
        <v>6</v>
      </c>
      <c r="IJ40" s="22" t="s">
        <v>7</v>
      </c>
      <c r="IK40" s="22" t="s">
        <v>8</v>
      </c>
      <c r="IL40" s="22" t="s">
        <v>18</v>
      </c>
      <c r="IM40" s="22" t="s">
        <v>10</v>
      </c>
      <c r="IN40" s="22" t="s">
        <v>11</v>
      </c>
      <c r="IO40" s="22" t="s">
        <v>12</v>
      </c>
      <c r="IP40" s="22" t="s">
        <v>13</v>
      </c>
      <c r="IQ40" s="22" t="s">
        <v>14</v>
      </c>
      <c r="IR40" s="22" t="s">
        <v>3</v>
      </c>
      <c r="IS40" s="22" t="s">
        <v>4</v>
      </c>
      <c r="IT40" s="22" t="s">
        <v>5</v>
      </c>
      <c r="IU40" s="22" t="s">
        <v>15</v>
      </c>
      <c r="IV40" s="22" t="s">
        <v>7</v>
      </c>
      <c r="IW40" s="22" t="s">
        <v>8</v>
      </c>
      <c r="IX40" s="22" t="s">
        <v>18</v>
      </c>
      <c r="IY40" s="22" t="s">
        <v>10</v>
      </c>
      <c r="IZ40" s="22" t="s">
        <v>11</v>
      </c>
      <c r="JA40" s="22" t="s">
        <v>12</v>
      </c>
      <c r="JB40" s="22" t="s">
        <v>20</v>
      </c>
      <c r="JC40" s="22" t="s">
        <v>21</v>
      </c>
      <c r="JD40" s="22" t="s">
        <v>16</v>
      </c>
      <c r="JE40" s="22" t="s">
        <v>4</v>
      </c>
      <c r="JF40" s="22" t="s">
        <v>5</v>
      </c>
      <c r="JG40" s="22" t="s">
        <v>6</v>
      </c>
      <c r="JH40" s="22" t="s">
        <v>7</v>
      </c>
      <c r="JI40" s="22" t="s">
        <v>8</v>
      </c>
      <c r="JJ40" s="22" t="s">
        <v>9</v>
      </c>
      <c r="JK40" s="22" t="s">
        <v>10</v>
      </c>
      <c r="JL40" s="22" t="s">
        <v>11</v>
      </c>
      <c r="JM40" s="22" t="s">
        <v>12</v>
      </c>
      <c r="JN40" s="22" t="s">
        <v>20</v>
      </c>
      <c r="JO40" s="22" t="s">
        <v>21</v>
      </c>
      <c r="JP40" s="22" t="s">
        <v>22</v>
      </c>
      <c r="JQ40" s="22" t="s">
        <v>4</v>
      </c>
      <c r="JR40" s="22" t="s">
        <v>5</v>
      </c>
      <c r="JS40" s="22" t="s">
        <v>6</v>
      </c>
      <c r="JT40" s="22" t="s">
        <v>17</v>
      </c>
      <c r="JU40" s="22" t="s">
        <v>23</v>
      </c>
      <c r="JV40" s="22" t="s">
        <v>18</v>
      </c>
      <c r="JW40" s="22" t="s">
        <v>24</v>
      </c>
      <c r="JX40" s="22" t="s">
        <v>11</v>
      </c>
      <c r="JY40" s="22" t="s">
        <v>12</v>
      </c>
      <c r="JZ40" s="22" t="s">
        <v>13</v>
      </c>
      <c r="KA40" s="22" t="s">
        <v>14</v>
      </c>
      <c r="KB40" s="22" t="s">
        <v>22</v>
      </c>
      <c r="KC40" s="22" t="s">
        <v>4</v>
      </c>
      <c r="KD40" s="22" t="s">
        <v>5</v>
      </c>
      <c r="KE40" s="22" t="s">
        <v>6</v>
      </c>
      <c r="KF40" s="22" t="s">
        <v>17</v>
      </c>
      <c r="KG40" s="22" t="s">
        <v>8</v>
      </c>
      <c r="KH40" s="22" t="s">
        <v>18</v>
      </c>
      <c r="KI40" s="22" t="s">
        <v>10</v>
      </c>
      <c r="KJ40" s="22" t="s">
        <v>11</v>
      </c>
      <c r="KK40" s="22" t="s">
        <v>12</v>
      </c>
      <c r="KL40" s="22" t="s">
        <v>20</v>
      </c>
      <c r="KM40" s="22" t="s">
        <v>21</v>
      </c>
      <c r="KN40" s="22" t="s">
        <v>16</v>
      </c>
      <c r="KO40" s="22" t="s">
        <v>19</v>
      </c>
      <c r="KP40" s="22" t="s">
        <v>5</v>
      </c>
      <c r="KQ40" s="22" t="s">
        <v>6</v>
      </c>
      <c r="KR40" s="22" t="s">
        <v>7</v>
      </c>
      <c r="KS40" s="22" t="s">
        <v>8</v>
      </c>
      <c r="KT40" s="22" t="s">
        <v>18</v>
      </c>
      <c r="KU40" s="22" t="s">
        <v>24</v>
      </c>
      <c r="KV40" s="22" t="s">
        <v>11</v>
      </c>
      <c r="KW40" s="22" t="s">
        <v>12</v>
      </c>
      <c r="KX40" s="22" t="s">
        <v>20</v>
      </c>
      <c r="KY40" s="22" t="s">
        <v>14</v>
      </c>
      <c r="KZ40" s="22" t="s">
        <v>16</v>
      </c>
      <c r="LA40" s="22" t="s">
        <v>4</v>
      </c>
      <c r="LB40" s="22" t="s">
        <v>27</v>
      </c>
      <c r="LC40" s="22" t="s">
        <v>6</v>
      </c>
      <c r="LD40" s="22" t="s">
        <v>7</v>
      </c>
      <c r="LE40" s="22" t="s">
        <v>8</v>
      </c>
      <c r="LF40" s="22" t="s">
        <v>9</v>
      </c>
      <c r="LG40" s="22" t="s">
        <v>24</v>
      </c>
      <c r="LH40" s="22" t="s">
        <v>11</v>
      </c>
      <c r="LI40" s="22" t="s">
        <v>12</v>
      </c>
      <c r="LJ40" s="22" t="s">
        <v>20</v>
      </c>
      <c r="LK40" s="22" t="s">
        <v>14</v>
      </c>
      <c r="LL40" s="22" t="s">
        <v>22</v>
      </c>
      <c r="LM40" s="22" t="s">
        <v>19</v>
      </c>
      <c r="LN40" s="22" t="s">
        <v>5</v>
      </c>
      <c r="LO40" s="22" t="s">
        <v>15</v>
      </c>
      <c r="LP40" s="22" t="s">
        <v>7</v>
      </c>
      <c r="LQ40" s="22" t="s">
        <v>8</v>
      </c>
      <c r="LR40" s="22" t="s">
        <v>18</v>
      </c>
      <c r="LS40" s="22" t="s">
        <v>10</v>
      </c>
      <c r="LT40" s="22" t="s">
        <v>11</v>
      </c>
      <c r="LU40" s="22" t="s">
        <v>12</v>
      </c>
      <c r="LV40" s="22" t="s">
        <v>13</v>
      </c>
      <c r="LW40" s="22" t="s">
        <v>14</v>
      </c>
      <c r="LX40" s="22" t="s">
        <v>22</v>
      </c>
      <c r="LY40" s="22" t="s">
        <v>4</v>
      </c>
      <c r="LZ40" s="22" t="s">
        <v>5</v>
      </c>
      <c r="MA40" s="22" t="s">
        <v>6</v>
      </c>
      <c r="MB40" s="22" t="s">
        <v>17</v>
      </c>
      <c r="MC40" s="22" t="s">
        <v>8</v>
      </c>
      <c r="MD40" s="22" t="s">
        <v>18</v>
      </c>
      <c r="ME40" s="22" t="s">
        <v>24</v>
      </c>
      <c r="MF40" s="22" t="s">
        <v>11</v>
      </c>
      <c r="MG40" s="22" t="s">
        <v>101</v>
      </c>
      <c r="MH40" s="22" t="s">
        <v>20</v>
      </c>
      <c r="MI40" s="22" t="s">
        <v>14</v>
      </c>
      <c r="MJ40" s="22" t="s">
        <v>22</v>
      </c>
      <c r="MK40" s="22" t="s">
        <v>4</v>
      </c>
      <c r="ML40" s="22" t="s">
        <v>5</v>
      </c>
      <c r="MM40" s="22" t="s">
        <v>6</v>
      </c>
      <c r="MN40" s="22" t="s">
        <v>17</v>
      </c>
      <c r="MO40" s="22" t="s">
        <v>8</v>
      </c>
      <c r="MP40" s="22" t="s">
        <v>18</v>
      </c>
      <c r="MQ40" s="22" t="s">
        <v>24</v>
      </c>
      <c r="MR40" s="22" t="s">
        <v>11</v>
      </c>
      <c r="MS40" s="22" t="s">
        <v>12</v>
      </c>
      <c r="MT40" s="22" t="s">
        <v>20</v>
      </c>
      <c r="MU40" s="22" t="s">
        <v>14</v>
      </c>
      <c r="MV40" s="22" t="s">
        <v>22</v>
      </c>
      <c r="MW40" s="22" t="s">
        <v>4</v>
      </c>
      <c r="MX40" s="22" t="s">
        <v>5</v>
      </c>
      <c r="MY40" s="22" t="s">
        <v>6</v>
      </c>
      <c r="MZ40" s="22" t="s">
        <v>7</v>
      </c>
      <c r="NA40" s="22" t="s">
        <v>8</v>
      </c>
      <c r="NB40" s="22" t="s">
        <v>18</v>
      </c>
      <c r="NC40" s="22" t="s">
        <v>24</v>
      </c>
      <c r="ND40" s="22" t="s">
        <v>11</v>
      </c>
      <c r="NE40" s="22" t="s">
        <v>12</v>
      </c>
      <c r="NF40" s="22" t="s">
        <v>20</v>
      </c>
      <c r="NG40" s="22" t="s">
        <v>14</v>
      </c>
      <c r="NH40" s="22" t="s">
        <v>22</v>
      </c>
      <c r="NI40" s="22" t="s">
        <v>19</v>
      </c>
      <c r="NJ40" s="22" t="s">
        <v>27</v>
      </c>
      <c r="NK40" s="22" t="s">
        <v>6</v>
      </c>
      <c r="NL40" s="22" t="s">
        <v>7</v>
      </c>
      <c r="NM40" s="22" t="s">
        <v>8</v>
      </c>
      <c r="NN40" s="22" t="s">
        <v>9</v>
      </c>
      <c r="NO40" s="22" t="s">
        <v>10</v>
      </c>
      <c r="NP40" s="22" t="s">
        <v>11</v>
      </c>
      <c r="NQ40" s="22" t="s">
        <v>12</v>
      </c>
      <c r="NR40" s="22" t="s">
        <v>20</v>
      </c>
      <c r="NS40" s="22" t="s">
        <v>14</v>
      </c>
      <c r="NT40" s="22" t="s">
        <v>16</v>
      </c>
      <c r="NU40" s="22" t="s">
        <v>19</v>
      </c>
      <c r="NV40" s="22" t="s">
        <v>5</v>
      </c>
      <c r="NW40" s="22" t="s">
        <v>6</v>
      </c>
      <c r="NX40" s="22" t="s">
        <v>7</v>
      </c>
      <c r="NY40" s="22" t="s">
        <v>8</v>
      </c>
      <c r="NZ40" s="22" t="s">
        <v>18</v>
      </c>
      <c r="OA40" s="22" t="s">
        <v>24</v>
      </c>
      <c r="OB40" s="22" t="s">
        <v>11</v>
      </c>
      <c r="OC40" s="22" t="s">
        <v>12</v>
      </c>
      <c r="OD40" s="22" t="s">
        <v>13</v>
      </c>
      <c r="OE40" s="22" t="s">
        <v>14</v>
      </c>
      <c r="OF40" s="22" t="s">
        <v>16</v>
      </c>
      <c r="OG40" s="22" t="s">
        <v>4</v>
      </c>
      <c r="OH40" s="22" t="s">
        <v>5</v>
      </c>
      <c r="OI40" s="22" t="s">
        <v>15</v>
      </c>
      <c r="OJ40" s="22" t="s">
        <v>7</v>
      </c>
      <c r="OK40" s="22" t="s">
        <v>8</v>
      </c>
      <c r="OL40" s="22" t="s">
        <v>18</v>
      </c>
    </row>
    <row r="41" spans="1:402" s="145" customFormat="1" ht="19.5" customHeight="1" x14ac:dyDescent="0.35">
      <c r="A41" s="12" t="s">
        <v>29</v>
      </c>
      <c r="B41" s="156">
        <v>610</v>
      </c>
      <c r="C41" s="156">
        <v>630</v>
      </c>
      <c r="D41" s="156">
        <v>621</v>
      </c>
      <c r="E41" s="156">
        <v>560</v>
      </c>
      <c r="F41" s="156">
        <f>'[1]Jan 08'!C13</f>
        <v>635</v>
      </c>
      <c r="G41" s="143">
        <f>'[1]Feb 08'!C13</f>
        <v>636</v>
      </c>
      <c r="H41" s="143">
        <f>'[1]Mar 08'!C13</f>
        <v>637</v>
      </c>
      <c r="I41" s="143">
        <v>628</v>
      </c>
      <c r="J41" s="143">
        <f>'[1]May 08'!C13</f>
        <v>614</v>
      </c>
      <c r="K41" s="143">
        <f>'[1]Jun 08'!C13</f>
        <v>577</v>
      </c>
      <c r="L41" s="143">
        <f>'[1]Jul 08'!C13</f>
        <v>543</v>
      </c>
      <c r="M41" s="143">
        <f>'[1]Aug 08'!C13</f>
        <v>531</v>
      </c>
      <c r="N41" s="143">
        <v>548</v>
      </c>
      <c r="O41" s="143">
        <v>543</v>
      </c>
      <c r="P41" s="143">
        <v>549</v>
      </c>
      <c r="Q41" s="143">
        <v>518</v>
      </c>
      <c r="R41" s="143">
        <v>555</v>
      </c>
      <c r="S41" s="143">
        <v>569</v>
      </c>
      <c r="T41" s="143">
        <v>548</v>
      </c>
      <c r="U41" s="143">
        <v>497</v>
      </c>
      <c r="V41" s="143">
        <v>429</v>
      </c>
      <c r="W41" s="143">
        <v>396</v>
      </c>
      <c r="X41" s="143">
        <v>378</v>
      </c>
      <c r="Y41" s="143">
        <v>366</v>
      </c>
      <c r="Z41" s="143">
        <v>384</v>
      </c>
      <c r="AA41" s="143">
        <v>389</v>
      </c>
      <c r="AB41" s="143">
        <v>358</v>
      </c>
      <c r="AC41" s="143">
        <v>341</v>
      </c>
      <c r="AD41" s="143">
        <v>366</v>
      </c>
      <c r="AE41" s="143">
        <v>373</v>
      </c>
      <c r="AF41" s="143">
        <v>384</v>
      </c>
      <c r="AG41" s="143">
        <v>350</v>
      </c>
      <c r="AH41" s="143">
        <v>313</v>
      </c>
      <c r="AI41" s="143">
        <v>279</v>
      </c>
      <c r="AJ41" s="143">
        <v>275</v>
      </c>
      <c r="AK41" s="143">
        <v>258</v>
      </c>
      <c r="AL41" s="143">
        <v>258</v>
      </c>
      <c r="AM41" s="143">
        <v>280</v>
      </c>
      <c r="AN41" s="143">
        <v>273</v>
      </c>
      <c r="AO41" s="143">
        <v>269</v>
      </c>
      <c r="AP41" s="143">
        <v>268</v>
      </c>
      <c r="AQ41" s="143">
        <v>254</v>
      </c>
      <c r="AR41" s="143">
        <v>250</v>
      </c>
      <c r="AS41" s="143">
        <v>248</v>
      </c>
      <c r="AT41" s="143">
        <v>219</v>
      </c>
      <c r="AU41" s="143">
        <v>183</v>
      </c>
      <c r="AV41" s="143">
        <v>183</v>
      </c>
      <c r="AW41" s="143">
        <v>180</v>
      </c>
      <c r="AX41" s="143">
        <v>189</v>
      </c>
      <c r="AY41" s="143">
        <v>201</v>
      </c>
      <c r="AZ41" s="143">
        <v>203</v>
      </c>
      <c r="BA41" s="143">
        <v>190</v>
      </c>
      <c r="BB41" s="143">
        <v>223</v>
      </c>
      <c r="BC41" s="143">
        <v>216</v>
      </c>
      <c r="BD41" s="143">
        <v>221</v>
      </c>
      <c r="BE41" s="143">
        <v>203</v>
      </c>
      <c r="BF41" s="143">
        <v>173</v>
      </c>
      <c r="BG41" s="143">
        <v>154</v>
      </c>
      <c r="BH41" s="143">
        <v>155</v>
      </c>
      <c r="BI41" s="143">
        <v>156</v>
      </c>
      <c r="BJ41" s="143">
        <v>164</v>
      </c>
      <c r="BK41" s="143">
        <v>164</v>
      </c>
      <c r="BL41" s="143">
        <v>178</v>
      </c>
      <c r="BM41" s="143">
        <v>173</v>
      </c>
      <c r="BN41" s="143">
        <v>213</v>
      </c>
      <c r="BO41" s="143">
        <v>214</v>
      </c>
      <c r="BP41" s="143">
        <v>224</v>
      </c>
      <c r="BQ41" s="143">
        <v>212</v>
      </c>
      <c r="BR41" s="143">
        <v>201</v>
      </c>
      <c r="BS41" s="143">
        <v>167</v>
      </c>
      <c r="BT41" s="143">
        <v>159</v>
      </c>
      <c r="BU41" s="143">
        <v>170</v>
      </c>
      <c r="BV41" s="143">
        <v>191</v>
      </c>
      <c r="BW41" s="143">
        <v>222</v>
      </c>
      <c r="BX41" s="143">
        <v>237</v>
      </c>
      <c r="BY41" s="143">
        <v>239</v>
      </c>
      <c r="BZ41" s="143">
        <v>295</v>
      </c>
      <c r="CA41" s="143">
        <v>289</v>
      </c>
      <c r="CB41" s="143">
        <v>283</v>
      </c>
      <c r="CC41" s="143">
        <v>270</v>
      </c>
      <c r="CD41" s="143">
        <v>252</v>
      </c>
      <c r="CE41" s="143">
        <v>231</v>
      </c>
      <c r="CF41" s="143">
        <v>222</v>
      </c>
      <c r="CG41" s="143">
        <v>231</v>
      </c>
      <c r="CH41" s="143">
        <v>254</v>
      </c>
      <c r="CI41" s="143">
        <v>279</v>
      </c>
      <c r="CJ41" s="143">
        <v>306</v>
      </c>
      <c r="CK41" s="143">
        <v>306</v>
      </c>
      <c r="CL41" s="143">
        <v>339</v>
      </c>
      <c r="CM41" s="143">
        <v>344</v>
      </c>
      <c r="CN41" s="143">
        <v>336</v>
      </c>
      <c r="CO41" s="143">
        <v>321</v>
      </c>
      <c r="CP41" s="143">
        <v>317</v>
      </c>
      <c r="CQ41" s="143">
        <v>252</v>
      </c>
      <c r="CR41" s="143">
        <v>230</v>
      </c>
      <c r="CS41" s="143">
        <v>231</v>
      </c>
      <c r="CT41" s="143">
        <v>253</v>
      </c>
      <c r="CU41" s="143">
        <v>302</v>
      </c>
      <c r="CV41" s="143">
        <v>300</v>
      </c>
      <c r="CW41" s="143">
        <v>298</v>
      </c>
      <c r="CX41" s="143">
        <v>339</v>
      </c>
      <c r="CY41" s="143">
        <v>357</v>
      </c>
      <c r="CZ41" s="143">
        <v>393</v>
      </c>
      <c r="DA41" s="143">
        <v>375</v>
      </c>
      <c r="DB41" s="143">
        <v>331</v>
      </c>
      <c r="DC41" s="143">
        <v>305</v>
      </c>
      <c r="DD41" s="143">
        <v>276</v>
      </c>
      <c r="DE41" s="143">
        <v>273</v>
      </c>
      <c r="DF41" s="143">
        <v>299</v>
      </c>
      <c r="DG41" s="143">
        <v>322</v>
      </c>
      <c r="DH41" s="143">
        <v>331</v>
      </c>
      <c r="DI41" s="143">
        <v>325</v>
      </c>
      <c r="DJ41" s="143">
        <v>355</v>
      </c>
      <c r="DK41" s="143">
        <v>382</v>
      </c>
      <c r="DL41" s="143">
        <v>379</v>
      </c>
      <c r="DM41" s="143">
        <v>370</v>
      </c>
      <c r="DN41" s="143">
        <v>324</v>
      </c>
      <c r="DO41" s="143">
        <v>279</v>
      </c>
      <c r="DP41" s="143">
        <v>246</v>
      </c>
      <c r="DQ41" s="143">
        <v>246</v>
      </c>
      <c r="DR41" s="143">
        <v>237</v>
      </c>
      <c r="DS41" s="143">
        <v>296</v>
      </c>
      <c r="DT41" s="143">
        <v>329</v>
      </c>
      <c r="DU41" s="143">
        <v>319</v>
      </c>
      <c r="DV41" s="143">
        <v>341</v>
      </c>
      <c r="DW41" s="143">
        <v>352</v>
      </c>
      <c r="DX41" s="143">
        <v>343</v>
      </c>
      <c r="DY41" s="143">
        <v>306</v>
      </c>
      <c r="DZ41" s="143">
        <v>282</v>
      </c>
      <c r="EA41" s="143">
        <v>259</v>
      </c>
      <c r="EB41" s="143">
        <v>218</v>
      </c>
      <c r="EC41" s="143">
        <v>228</v>
      </c>
      <c r="ED41" s="143">
        <v>247</v>
      </c>
      <c r="EE41" s="143">
        <v>273</v>
      </c>
      <c r="EF41" s="143">
        <v>284</v>
      </c>
      <c r="EG41" s="143">
        <v>272</v>
      </c>
      <c r="EH41" s="143">
        <v>302</v>
      </c>
      <c r="EI41" s="143">
        <v>300</v>
      </c>
      <c r="EJ41" s="143">
        <v>276</v>
      </c>
      <c r="EK41" s="143">
        <v>269</v>
      </c>
      <c r="EL41" s="143">
        <v>256</v>
      </c>
      <c r="EM41" s="143">
        <v>231</v>
      </c>
      <c r="EN41" s="143">
        <v>198</v>
      </c>
      <c r="EO41" s="143">
        <v>212</v>
      </c>
      <c r="EP41" s="143">
        <v>220</v>
      </c>
      <c r="EQ41" s="143">
        <v>250</v>
      </c>
      <c r="ER41" s="143">
        <v>248</v>
      </c>
      <c r="ES41" s="143">
        <v>232</v>
      </c>
      <c r="ET41" s="143">
        <v>252</v>
      </c>
      <c r="EU41" s="143">
        <v>227</v>
      </c>
      <c r="EV41" s="143">
        <v>238</v>
      </c>
      <c r="EW41" s="143">
        <v>224</v>
      </c>
      <c r="EX41" s="143">
        <v>200</v>
      </c>
      <c r="EY41" s="143">
        <v>169</v>
      </c>
      <c r="EZ41" s="143">
        <v>137</v>
      </c>
      <c r="FA41" s="143">
        <v>140</v>
      </c>
      <c r="FB41" s="143">
        <v>144</v>
      </c>
      <c r="FC41" s="143">
        <v>130</v>
      </c>
      <c r="FD41" s="143">
        <v>114</v>
      </c>
      <c r="FE41" s="143">
        <v>80</v>
      </c>
      <c r="FF41" s="143">
        <v>67</v>
      </c>
      <c r="FG41" s="143">
        <v>50</v>
      </c>
      <c r="FH41" s="143">
        <v>52</v>
      </c>
      <c r="FI41" s="143">
        <v>57</v>
      </c>
      <c r="FJ41" s="143">
        <v>61</v>
      </c>
      <c r="FK41" s="143">
        <v>68</v>
      </c>
      <c r="FL41" s="143">
        <v>86</v>
      </c>
      <c r="FM41" s="143">
        <v>78</v>
      </c>
      <c r="FN41" s="143">
        <v>72</v>
      </c>
      <c r="FO41" s="143">
        <v>70</v>
      </c>
      <c r="FP41" s="143">
        <v>54</v>
      </c>
      <c r="FQ41" s="143">
        <v>54</v>
      </c>
      <c r="FR41" s="143">
        <v>41</v>
      </c>
      <c r="FS41" s="143">
        <v>38</v>
      </c>
      <c r="FT41" s="143">
        <v>57</v>
      </c>
      <c r="FU41" s="143">
        <v>88</v>
      </c>
      <c r="FV41" s="143">
        <v>145</v>
      </c>
      <c r="FW41" s="143">
        <v>195</v>
      </c>
      <c r="FX41" s="143">
        <v>245</v>
      </c>
      <c r="FY41" s="143">
        <v>234</v>
      </c>
      <c r="FZ41" s="143">
        <v>272</v>
      </c>
      <c r="GA41" s="143">
        <v>272</v>
      </c>
      <c r="GB41" s="143">
        <v>263</v>
      </c>
      <c r="GC41" s="143">
        <v>211</v>
      </c>
      <c r="GD41" s="143">
        <v>255</v>
      </c>
      <c r="GE41" s="143">
        <v>218</v>
      </c>
      <c r="GF41" s="143">
        <v>209</v>
      </c>
      <c r="GG41" s="143">
        <v>189</v>
      </c>
      <c r="GH41" s="143">
        <v>168</v>
      </c>
      <c r="GI41" s="143">
        <v>144</v>
      </c>
      <c r="GJ41" s="143">
        <v>134</v>
      </c>
      <c r="GK41" s="143">
        <v>151</v>
      </c>
      <c r="GL41" s="143">
        <v>172</v>
      </c>
      <c r="GM41" s="143">
        <v>215</v>
      </c>
      <c r="GN41" s="143">
        <v>228</v>
      </c>
      <c r="GO41" s="143">
        <v>201</v>
      </c>
      <c r="GP41" s="143">
        <v>231</v>
      </c>
      <c r="GQ41" s="143">
        <v>247</v>
      </c>
      <c r="GR41" s="143">
        <v>248</v>
      </c>
      <c r="GS41" s="143">
        <f>SUM(GG41:GR41)/12</f>
        <v>194</v>
      </c>
      <c r="GT41" s="152"/>
      <c r="GU41" s="12" t="s">
        <v>29</v>
      </c>
      <c r="GV41" s="145" t="s">
        <v>30</v>
      </c>
      <c r="GW41" s="145">
        <f t="shared" ref="GW41:JH41" si="28">(C41-B41)/B41</f>
        <v>3.2786885245901641E-2</v>
      </c>
      <c r="GX41" s="145">
        <f t="shared" si="28"/>
        <v>-1.4285714285714285E-2</v>
      </c>
      <c r="GY41" s="145">
        <f t="shared" si="28"/>
        <v>-9.8228663446054756E-2</v>
      </c>
      <c r="GZ41" s="145">
        <f t="shared" si="28"/>
        <v>0.13392857142857142</v>
      </c>
      <c r="HA41" s="145">
        <f t="shared" si="28"/>
        <v>1.5748031496062992E-3</v>
      </c>
      <c r="HB41" s="145">
        <f t="shared" si="28"/>
        <v>1.5723270440251573E-3</v>
      </c>
      <c r="HC41" s="145">
        <f t="shared" si="28"/>
        <v>-1.4128728414442701E-2</v>
      </c>
      <c r="HD41" s="145">
        <f t="shared" si="28"/>
        <v>-2.2292993630573247E-2</v>
      </c>
      <c r="HE41" s="145">
        <f t="shared" si="28"/>
        <v>-6.026058631921824E-2</v>
      </c>
      <c r="HF41" s="145">
        <f t="shared" si="28"/>
        <v>-5.8925476603119586E-2</v>
      </c>
      <c r="HG41" s="145">
        <f t="shared" si="28"/>
        <v>-2.2099447513812154E-2</v>
      </c>
      <c r="HH41" s="145">
        <f t="shared" si="28"/>
        <v>3.2015065913370999E-2</v>
      </c>
      <c r="HI41" s="145">
        <f t="shared" si="28"/>
        <v>-9.1240875912408752E-3</v>
      </c>
      <c r="HJ41" s="145">
        <f t="shared" si="28"/>
        <v>1.1049723756906077E-2</v>
      </c>
      <c r="HK41" s="145">
        <f t="shared" si="28"/>
        <v>-5.6466302367941715E-2</v>
      </c>
      <c r="HL41" s="145">
        <f t="shared" si="28"/>
        <v>7.1428571428571425E-2</v>
      </c>
      <c r="HM41" s="145">
        <f t="shared" si="28"/>
        <v>2.5225225225225224E-2</v>
      </c>
      <c r="HN41" s="145">
        <f t="shared" si="28"/>
        <v>-3.6906854130052721E-2</v>
      </c>
      <c r="HO41" s="145">
        <f t="shared" si="28"/>
        <v>-9.3065693430656932E-2</v>
      </c>
      <c r="HP41" s="145">
        <f t="shared" si="28"/>
        <v>-0.13682092555331993</v>
      </c>
      <c r="HQ41" s="145">
        <f t="shared" si="28"/>
        <v>-7.6923076923076927E-2</v>
      </c>
      <c r="HR41" s="145">
        <f t="shared" si="28"/>
        <v>-4.5454545454545456E-2</v>
      </c>
      <c r="HS41" s="145">
        <f t="shared" si="28"/>
        <v>-3.1746031746031744E-2</v>
      </c>
      <c r="HT41" s="145">
        <f t="shared" si="28"/>
        <v>4.9180327868852458E-2</v>
      </c>
      <c r="HU41" s="145">
        <f t="shared" si="28"/>
        <v>1.3020833333333334E-2</v>
      </c>
      <c r="HV41" s="145">
        <f t="shared" si="28"/>
        <v>-7.9691516709511565E-2</v>
      </c>
      <c r="HW41" s="145">
        <f t="shared" si="28"/>
        <v>-4.7486033519553071E-2</v>
      </c>
      <c r="HX41" s="145">
        <f t="shared" si="28"/>
        <v>7.331378299120235E-2</v>
      </c>
      <c r="HY41" s="145">
        <f t="shared" si="28"/>
        <v>1.912568306010929E-2</v>
      </c>
      <c r="HZ41" s="145">
        <f t="shared" si="28"/>
        <v>2.9490616621983913E-2</v>
      </c>
      <c r="IA41" s="145">
        <f t="shared" si="28"/>
        <v>-8.8541666666666671E-2</v>
      </c>
      <c r="IB41" s="145">
        <f t="shared" si="28"/>
        <v>-0.10571428571428572</v>
      </c>
      <c r="IC41" s="145">
        <f t="shared" si="28"/>
        <v>-0.10862619808306709</v>
      </c>
      <c r="ID41" s="145">
        <f t="shared" si="28"/>
        <v>-1.4336917562724014E-2</v>
      </c>
      <c r="IE41" s="145">
        <f t="shared" si="28"/>
        <v>-6.1818181818181821E-2</v>
      </c>
      <c r="IF41" s="145">
        <f t="shared" si="28"/>
        <v>0</v>
      </c>
      <c r="IG41" s="145">
        <f t="shared" si="28"/>
        <v>8.5271317829457363E-2</v>
      </c>
      <c r="IH41" s="145">
        <f t="shared" si="28"/>
        <v>-2.5000000000000001E-2</v>
      </c>
      <c r="II41" s="145">
        <f t="shared" si="28"/>
        <v>-1.4652014652014652E-2</v>
      </c>
      <c r="IJ41" s="145">
        <f t="shared" si="28"/>
        <v>-3.7174721189591076E-3</v>
      </c>
      <c r="IK41" s="145">
        <f t="shared" si="28"/>
        <v>-5.2238805970149252E-2</v>
      </c>
      <c r="IL41" s="145">
        <f t="shared" si="28"/>
        <v>-1.5748031496062992E-2</v>
      </c>
      <c r="IM41" s="145">
        <f t="shared" si="28"/>
        <v>-8.0000000000000002E-3</v>
      </c>
      <c r="IN41" s="145">
        <f t="shared" si="28"/>
        <v>-0.11693548387096774</v>
      </c>
      <c r="IO41" s="145">
        <f t="shared" si="28"/>
        <v>-0.16438356164383561</v>
      </c>
      <c r="IP41" s="145">
        <f t="shared" si="28"/>
        <v>0</v>
      </c>
      <c r="IQ41" s="145">
        <f t="shared" si="28"/>
        <v>-1.6393442622950821E-2</v>
      </c>
      <c r="IR41" s="145">
        <f t="shared" si="28"/>
        <v>0.05</v>
      </c>
      <c r="IS41" s="145">
        <f t="shared" si="28"/>
        <v>6.3492063492063489E-2</v>
      </c>
      <c r="IT41" s="145">
        <f t="shared" si="28"/>
        <v>9.9502487562189053E-3</v>
      </c>
      <c r="IU41" s="145">
        <f t="shared" si="28"/>
        <v>-6.4039408866995079E-2</v>
      </c>
      <c r="IV41" s="145">
        <f t="shared" si="28"/>
        <v>0.1736842105263158</v>
      </c>
      <c r="IW41" s="145">
        <f t="shared" si="28"/>
        <v>-3.1390134529147982E-2</v>
      </c>
      <c r="IX41" s="145">
        <f t="shared" si="28"/>
        <v>2.3148148148148147E-2</v>
      </c>
      <c r="IY41" s="145">
        <f t="shared" si="28"/>
        <v>-8.1447963800904979E-2</v>
      </c>
      <c r="IZ41" s="145">
        <f t="shared" si="28"/>
        <v>-0.14778325123152711</v>
      </c>
      <c r="JA41" s="145">
        <f t="shared" si="28"/>
        <v>-0.10982658959537572</v>
      </c>
      <c r="JB41" s="145">
        <f t="shared" si="28"/>
        <v>6.4935064935064939E-3</v>
      </c>
      <c r="JC41" s="145">
        <f t="shared" si="28"/>
        <v>6.4516129032258064E-3</v>
      </c>
      <c r="JD41" s="145">
        <f t="shared" si="28"/>
        <v>5.128205128205128E-2</v>
      </c>
      <c r="JE41" s="145">
        <f t="shared" si="28"/>
        <v>0</v>
      </c>
      <c r="JF41" s="145">
        <f t="shared" si="28"/>
        <v>8.5365853658536592E-2</v>
      </c>
      <c r="JG41" s="145">
        <f t="shared" si="28"/>
        <v>-2.8089887640449437E-2</v>
      </c>
      <c r="JH41" s="145">
        <f t="shared" si="28"/>
        <v>0.23121387283236994</v>
      </c>
      <c r="JI41" s="145">
        <f t="shared" ref="JI41:LT45" si="29">(BO41-BN41)/BN41</f>
        <v>4.6948356807511738E-3</v>
      </c>
      <c r="JJ41" s="145">
        <f t="shared" si="29"/>
        <v>4.6728971962616821E-2</v>
      </c>
      <c r="JK41" s="145">
        <f t="shared" si="29"/>
        <v>-5.3571428571428568E-2</v>
      </c>
      <c r="JL41" s="145">
        <f t="shared" si="29"/>
        <v>-5.1886792452830191E-2</v>
      </c>
      <c r="JM41" s="145">
        <f t="shared" si="29"/>
        <v>-0.1691542288557214</v>
      </c>
      <c r="JN41" s="145">
        <f t="shared" si="29"/>
        <v>-4.790419161676647E-2</v>
      </c>
      <c r="JO41" s="145">
        <f t="shared" si="29"/>
        <v>6.9182389937106917E-2</v>
      </c>
      <c r="JP41" s="145">
        <f t="shared" si="29"/>
        <v>0.12352941176470589</v>
      </c>
      <c r="JQ41" s="145">
        <f t="shared" si="29"/>
        <v>0.16230366492146597</v>
      </c>
      <c r="JR41" s="145">
        <f t="shared" si="29"/>
        <v>6.7567567567567571E-2</v>
      </c>
      <c r="JS41" s="145">
        <f t="shared" si="29"/>
        <v>8.4388185654008432E-3</v>
      </c>
      <c r="JT41" s="145">
        <f t="shared" si="29"/>
        <v>0.23430962343096234</v>
      </c>
      <c r="JU41" s="145">
        <f t="shared" si="29"/>
        <v>-2.0338983050847456E-2</v>
      </c>
      <c r="JV41" s="145">
        <f t="shared" si="29"/>
        <v>-2.0761245674740483E-2</v>
      </c>
      <c r="JW41" s="145">
        <f t="shared" si="29"/>
        <v>-4.5936395759717315E-2</v>
      </c>
      <c r="JX41" s="145">
        <f t="shared" si="29"/>
        <v>-6.6666666666666666E-2</v>
      </c>
      <c r="JY41" s="145">
        <f t="shared" si="29"/>
        <v>-8.3333333333333329E-2</v>
      </c>
      <c r="JZ41" s="145">
        <f t="shared" si="29"/>
        <v>-3.896103896103896E-2</v>
      </c>
      <c r="KA41" s="145">
        <f t="shared" si="29"/>
        <v>4.0540540540540543E-2</v>
      </c>
      <c r="KB41" s="145">
        <f t="shared" si="29"/>
        <v>9.9567099567099568E-2</v>
      </c>
      <c r="KC41" s="145">
        <f t="shared" si="29"/>
        <v>9.8425196850393706E-2</v>
      </c>
      <c r="KD41" s="145">
        <f t="shared" si="29"/>
        <v>9.6774193548387094E-2</v>
      </c>
      <c r="KE41" s="145">
        <f t="shared" si="29"/>
        <v>0</v>
      </c>
      <c r="KF41" s="145">
        <f t="shared" si="29"/>
        <v>0.10784313725490197</v>
      </c>
      <c r="KG41" s="145">
        <f t="shared" si="29"/>
        <v>1.4749262536873156E-2</v>
      </c>
      <c r="KH41" s="145">
        <f t="shared" si="29"/>
        <v>-2.3255813953488372E-2</v>
      </c>
      <c r="KI41" s="145">
        <f t="shared" si="29"/>
        <v>-4.4642857142857144E-2</v>
      </c>
      <c r="KJ41" s="145">
        <f t="shared" si="29"/>
        <v>-1.2461059190031152E-2</v>
      </c>
      <c r="KK41" s="145">
        <f t="shared" si="29"/>
        <v>-0.20504731861198738</v>
      </c>
      <c r="KL41" s="145">
        <f t="shared" si="29"/>
        <v>-8.7301587301587297E-2</v>
      </c>
      <c r="KM41" s="145">
        <f t="shared" si="29"/>
        <v>4.3478260869565218E-3</v>
      </c>
      <c r="KN41" s="145">
        <f t="shared" si="29"/>
        <v>9.5238095238095233E-2</v>
      </c>
      <c r="KO41" s="145">
        <f t="shared" si="29"/>
        <v>0.19367588932806323</v>
      </c>
      <c r="KP41" s="145">
        <f t="shared" si="29"/>
        <v>-6.6225165562913907E-3</v>
      </c>
      <c r="KQ41" s="145">
        <f t="shared" si="29"/>
        <v>-6.6666666666666671E-3</v>
      </c>
      <c r="KR41" s="145">
        <f t="shared" si="29"/>
        <v>0.13758389261744966</v>
      </c>
      <c r="KS41" s="145">
        <f t="shared" si="29"/>
        <v>5.3097345132743362E-2</v>
      </c>
      <c r="KT41" s="145">
        <f t="shared" si="29"/>
        <v>0.10084033613445378</v>
      </c>
      <c r="KU41" s="145">
        <f t="shared" si="29"/>
        <v>-4.5801526717557252E-2</v>
      </c>
      <c r="KV41" s="145">
        <f t="shared" si="29"/>
        <v>-0.11733333333333333</v>
      </c>
      <c r="KW41" s="145">
        <f t="shared" si="29"/>
        <v>-7.8549848942598186E-2</v>
      </c>
      <c r="KX41" s="145">
        <f t="shared" si="29"/>
        <v>-9.5081967213114751E-2</v>
      </c>
      <c r="KY41" s="145">
        <f t="shared" si="29"/>
        <v>-1.0869565217391304E-2</v>
      </c>
      <c r="KZ41" s="145">
        <f t="shared" si="29"/>
        <v>9.5238095238095233E-2</v>
      </c>
      <c r="LA41" s="145">
        <f t="shared" si="29"/>
        <v>7.6923076923076927E-2</v>
      </c>
      <c r="LB41" s="145">
        <f t="shared" si="29"/>
        <v>2.7950310559006212E-2</v>
      </c>
      <c r="LC41" s="145">
        <f t="shared" si="29"/>
        <v>-1.812688821752266E-2</v>
      </c>
      <c r="LD41" s="145">
        <f t="shared" si="29"/>
        <v>9.2307692307692313E-2</v>
      </c>
      <c r="LE41" s="145">
        <f t="shared" si="29"/>
        <v>7.605633802816901E-2</v>
      </c>
      <c r="LF41" s="145">
        <f t="shared" si="29"/>
        <v>-7.8534031413612562E-3</v>
      </c>
      <c r="LG41" s="145">
        <f t="shared" si="29"/>
        <v>-2.3746701846965697E-2</v>
      </c>
      <c r="LH41" s="145">
        <f t="shared" si="29"/>
        <v>-0.12432432432432433</v>
      </c>
      <c r="LI41" s="145">
        <f t="shared" si="29"/>
        <v>-0.1388888888888889</v>
      </c>
      <c r="LJ41" s="145">
        <f t="shared" si="29"/>
        <v>-0.11827956989247312</v>
      </c>
      <c r="LK41" s="145">
        <f t="shared" si="29"/>
        <v>0</v>
      </c>
      <c r="LL41" s="145">
        <f t="shared" si="29"/>
        <v>-3.6585365853658534E-2</v>
      </c>
      <c r="LM41" s="145">
        <f t="shared" si="29"/>
        <v>0.24894514767932491</v>
      </c>
      <c r="LN41" s="145">
        <f t="shared" si="29"/>
        <v>0.11148648648648649</v>
      </c>
      <c r="LO41" s="145">
        <f t="shared" si="29"/>
        <v>-3.0395136778115502E-2</v>
      </c>
      <c r="LP41" s="145">
        <f t="shared" si="29"/>
        <v>6.8965517241379309E-2</v>
      </c>
      <c r="LQ41" s="145">
        <f t="shared" si="29"/>
        <v>3.2258064516129031E-2</v>
      </c>
      <c r="LR41" s="145">
        <f t="shared" si="29"/>
        <v>-2.556818181818182E-2</v>
      </c>
      <c r="LS41" s="145">
        <f t="shared" si="29"/>
        <v>-0.10787172011661808</v>
      </c>
      <c r="LT41" s="145">
        <f t="shared" si="29"/>
        <v>-7.8431372549019607E-2</v>
      </c>
      <c r="LU41" s="145">
        <f t="shared" ref="LU41:MR45" si="30">(EA41-DZ41)/DZ41</f>
        <v>-8.1560283687943269E-2</v>
      </c>
      <c r="LV41" s="145">
        <f t="shared" si="30"/>
        <v>-0.15830115830115829</v>
      </c>
      <c r="LW41" s="145">
        <f t="shared" si="30"/>
        <v>4.5871559633027525E-2</v>
      </c>
      <c r="LX41" s="145">
        <f t="shared" si="30"/>
        <v>8.3333333333333329E-2</v>
      </c>
      <c r="LY41" s="145">
        <f t="shared" si="30"/>
        <v>0.10526315789473684</v>
      </c>
      <c r="LZ41" s="145">
        <f t="shared" si="30"/>
        <v>4.0293040293040296E-2</v>
      </c>
      <c r="MA41" s="145">
        <f t="shared" si="30"/>
        <v>-4.2253521126760563E-2</v>
      </c>
      <c r="MB41" s="145">
        <f t="shared" si="30"/>
        <v>0.11029411764705882</v>
      </c>
      <c r="MC41" s="145">
        <f t="shared" si="30"/>
        <v>-6.6225165562913907E-3</v>
      </c>
      <c r="MD41" s="145">
        <f t="shared" si="30"/>
        <v>-0.08</v>
      </c>
      <c r="ME41" s="145">
        <f t="shared" si="30"/>
        <v>-2.5362318840579712E-2</v>
      </c>
      <c r="MF41" s="145">
        <f t="shared" si="30"/>
        <v>-4.8327137546468404E-2</v>
      </c>
      <c r="MG41" s="145">
        <f t="shared" si="30"/>
        <v>-9.765625E-2</v>
      </c>
      <c r="MH41" s="145">
        <f t="shared" si="30"/>
        <v>-0.14285714285714285</v>
      </c>
      <c r="MI41" s="145">
        <f t="shared" si="30"/>
        <v>7.0707070707070704E-2</v>
      </c>
      <c r="MJ41" s="145">
        <f t="shared" si="30"/>
        <v>3.7735849056603772E-2</v>
      </c>
      <c r="MK41" s="145">
        <f t="shared" si="30"/>
        <v>0.13636363636363635</v>
      </c>
      <c r="ML41" s="145">
        <f t="shared" si="30"/>
        <v>-8.0000000000000002E-3</v>
      </c>
      <c r="MM41" s="145">
        <f t="shared" si="30"/>
        <v>-6.4516129032258063E-2</v>
      </c>
      <c r="MN41" s="145">
        <f t="shared" si="30"/>
        <v>8.6206896551724144E-2</v>
      </c>
      <c r="MO41" s="145">
        <f t="shared" si="30"/>
        <v>-9.9206349206349201E-2</v>
      </c>
      <c r="MP41" s="145">
        <f t="shared" si="30"/>
        <v>4.8458149779735685E-2</v>
      </c>
      <c r="MQ41" s="145">
        <f t="shared" si="30"/>
        <v>-5.8823529411764705E-2</v>
      </c>
      <c r="MR41" s="145">
        <f t="shared" si="30"/>
        <v>-0.10714285714285714</v>
      </c>
      <c r="MS41" s="145">
        <f>(EZ41-EY41)/EY41</f>
        <v>-0.1893491124260355</v>
      </c>
      <c r="MT41" s="145">
        <f t="shared" ref="MT41:NI45" si="31">(EZ41-EY41)/EZ41</f>
        <v>-0.23357664233576642</v>
      </c>
      <c r="MU41" s="145">
        <f t="shared" si="31"/>
        <v>2.1428571428571429E-2</v>
      </c>
      <c r="MV41" s="145">
        <f t="shared" si="31"/>
        <v>2.7777777777777776E-2</v>
      </c>
      <c r="MW41" s="145">
        <f t="shared" si="31"/>
        <v>-0.1076923076923077</v>
      </c>
      <c r="MX41" s="145">
        <f t="shared" si="31"/>
        <v>-0.14035087719298245</v>
      </c>
      <c r="MY41" s="145">
        <f t="shared" si="31"/>
        <v>-0.42499999999999999</v>
      </c>
      <c r="MZ41" s="145">
        <f t="shared" si="31"/>
        <v>-0.19402985074626866</v>
      </c>
      <c r="NA41" s="145">
        <f t="shared" si="31"/>
        <v>-0.34</v>
      </c>
      <c r="NB41" s="145">
        <f t="shared" si="31"/>
        <v>3.8461538461538464E-2</v>
      </c>
      <c r="NC41" s="145">
        <f t="shared" si="31"/>
        <v>8.771929824561403E-2</v>
      </c>
      <c r="ND41" s="145">
        <f t="shared" si="31"/>
        <v>6.5573770491803282E-2</v>
      </c>
      <c r="NE41" s="145">
        <f t="shared" si="31"/>
        <v>0.10294117647058823</v>
      </c>
      <c r="NF41" s="145">
        <f t="shared" si="31"/>
        <v>0.20930232558139536</v>
      </c>
      <c r="NG41" s="145">
        <f t="shared" si="31"/>
        <v>-0.10256410256410256</v>
      </c>
      <c r="NH41" s="145">
        <f t="shared" si="31"/>
        <v>-8.3333333333333329E-2</v>
      </c>
      <c r="NI41" s="145">
        <f t="shared" si="31"/>
        <v>-2.8571428571428571E-2</v>
      </c>
      <c r="NJ41" s="145">
        <f t="shared" ref="NJ41:NY45" si="32">(FP41-FO41)/FP41</f>
        <v>-0.29629629629629628</v>
      </c>
      <c r="NK41" s="145">
        <f t="shared" si="32"/>
        <v>0</v>
      </c>
      <c r="NL41" s="145">
        <f t="shared" si="32"/>
        <v>-0.31707317073170732</v>
      </c>
      <c r="NM41" s="145">
        <f t="shared" si="32"/>
        <v>-7.8947368421052627E-2</v>
      </c>
      <c r="NN41" s="145">
        <f t="shared" si="32"/>
        <v>0.33333333333333331</v>
      </c>
      <c r="NO41" s="145">
        <f t="shared" si="32"/>
        <v>0.35227272727272729</v>
      </c>
      <c r="NP41" s="145">
        <f t="shared" si="32"/>
        <v>0.39310344827586208</v>
      </c>
      <c r="NQ41" s="145">
        <f t="shared" si="32"/>
        <v>0.25641025641025639</v>
      </c>
      <c r="NR41" s="145">
        <f t="shared" si="32"/>
        <v>0.20408163265306123</v>
      </c>
      <c r="NS41" s="145">
        <f t="shared" si="32"/>
        <v>-4.7008547008547008E-2</v>
      </c>
      <c r="NT41" s="145">
        <f t="shared" si="32"/>
        <v>0.13970588235294118</v>
      </c>
      <c r="NU41" s="145">
        <f t="shared" si="32"/>
        <v>0</v>
      </c>
      <c r="NV41" s="145">
        <f t="shared" si="32"/>
        <v>-3.4220532319391636E-2</v>
      </c>
      <c r="NW41" s="145">
        <f t="shared" si="32"/>
        <v>-0.24644549763033174</v>
      </c>
      <c r="NX41" s="145">
        <f t="shared" si="32"/>
        <v>0.17254901960784313</v>
      </c>
      <c r="NY41" s="145">
        <f t="shared" si="32"/>
        <v>-0.16972477064220184</v>
      </c>
      <c r="NZ41" s="145">
        <f t="shared" ref="NX41:OL45" si="33">(GF41-GE41)/GF41</f>
        <v>-4.3062200956937802E-2</v>
      </c>
      <c r="OA41" s="145">
        <f t="shared" si="33"/>
        <v>-0.10582010582010581</v>
      </c>
      <c r="OB41" s="145">
        <f t="shared" si="33"/>
        <v>-0.125</v>
      </c>
      <c r="OC41" s="145">
        <f t="shared" si="33"/>
        <v>-0.16666666666666666</v>
      </c>
      <c r="OD41" s="145">
        <f t="shared" si="33"/>
        <v>-7.4626865671641784E-2</v>
      </c>
      <c r="OE41" s="145">
        <f t="shared" si="33"/>
        <v>0.11258278145695365</v>
      </c>
      <c r="OF41" s="145">
        <f t="shared" si="33"/>
        <v>0.12209302325581395</v>
      </c>
      <c r="OG41" s="145">
        <f t="shared" si="33"/>
        <v>0.2</v>
      </c>
      <c r="OH41" s="145">
        <f t="shared" si="33"/>
        <v>5.701754385964912E-2</v>
      </c>
      <c r="OI41" s="145">
        <f t="shared" si="33"/>
        <v>-0.13432835820895522</v>
      </c>
      <c r="OJ41" s="145">
        <f t="shared" si="33"/>
        <v>0.12987012987012986</v>
      </c>
      <c r="OK41" s="145">
        <f t="shared" si="33"/>
        <v>6.4777327935222673E-2</v>
      </c>
      <c r="OL41" s="145">
        <f t="shared" si="33"/>
        <v>4.0322580645161289E-3</v>
      </c>
    </row>
    <row r="42" spans="1:402" s="145" customFormat="1" ht="19.5" customHeight="1" x14ac:dyDescent="0.35">
      <c r="A42" s="12" t="s">
        <v>31</v>
      </c>
      <c r="B42" s="156"/>
      <c r="C42" s="156"/>
      <c r="D42" s="156"/>
      <c r="E42" s="156"/>
      <c r="F42" s="156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>
        <v>24</v>
      </c>
      <c r="DK42" s="143">
        <v>26</v>
      </c>
      <c r="DL42" s="143">
        <v>25</v>
      </c>
      <c r="DM42" s="143">
        <v>30</v>
      </c>
      <c r="DN42" s="143">
        <v>35</v>
      </c>
      <c r="DO42" s="143">
        <v>21</v>
      </c>
      <c r="DP42" s="143">
        <v>27</v>
      </c>
      <c r="DQ42" s="143">
        <v>19</v>
      </c>
      <c r="DR42" s="143">
        <v>24</v>
      </c>
      <c r="DS42" s="143">
        <v>25</v>
      </c>
      <c r="DT42" s="143">
        <v>21</v>
      </c>
      <c r="DU42" s="143">
        <v>29</v>
      </c>
      <c r="DV42" s="143">
        <v>40</v>
      </c>
      <c r="DW42" s="143">
        <v>38</v>
      </c>
      <c r="DX42" s="143">
        <v>41</v>
      </c>
      <c r="DY42" s="143">
        <v>49</v>
      </c>
      <c r="DZ42" s="143">
        <v>47</v>
      </c>
      <c r="EA42" s="143">
        <v>31</v>
      </c>
      <c r="EB42" s="143">
        <v>26</v>
      </c>
      <c r="EC42" s="143">
        <v>18</v>
      </c>
      <c r="ED42" s="143">
        <v>19</v>
      </c>
      <c r="EE42" s="143">
        <v>30</v>
      </c>
      <c r="EF42" s="143">
        <v>24</v>
      </c>
      <c r="EG42" s="143">
        <v>19</v>
      </c>
      <c r="EH42" s="143">
        <v>23</v>
      </c>
      <c r="EI42" s="143">
        <v>31</v>
      </c>
      <c r="EJ42" s="143">
        <v>40</v>
      </c>
      <c r="EK42" s="143">
        <v>39</v>
      </c>
      <c r="EL42" s="143">
        <v>38</v>
      </c>
      <c r="EM42" s="143">
        <v>28</v>
      </c>
      <c r="EN42" s="143">
        <v>21</v>
      </c>
      <c r="EO42" s="143">
        <v>23</v>
      </c>
      <c r="EP42" s="143">
        <v>30</v>
      </c>
      <c r="EQ42" s="143">
        <v>43</v>
      </c>
      <c r="ER42" s="143">
        <v>39</v>
      </c>
      <c r="ES42" s="143">
        <v>21</v>
      </c>
      <c r="ET42" s="143">
        <v>48</v>
      </c>
      <c r="EU42" s="143">
        <v>62</v>
      </c>
      <c r="EV42" s="143">
        <v>34</v>
      </c>
      <c r="EW42" s="143">
        <v>29</v>
      </c>
      <c r="EX42" s="143">
        <v>54</v>
      </c>
      <c r="EY42" s="143">
        <v>69</v>
      </c>
      <c r="EZ42" s="143">
        <v>54</v>
      </c>
      <c r="FA42" s="143">
        <v>60</v>
      </c>
      <c r="FB42" s="143">
        <v>60</v>
      </c>
      <c r="FC42" s="143">
        <v>64</v>
      </c>
      <c r="FD42" s="143">
        <v>69</v>
      </c>
      <c r="FE42" s="143">
        <v>49</v>
      </c>
      <c r="FF42" s="143">
        <v>60</v>
      </c>
      <c r="FG42" s="143">
        <v>52</v>
      </c>
      <c r="FH42" s="143">
        <v>66</v>
      </c>
      <c r="FI42" s="143">
        <v>63</v>
      </c>
      <c r="FJ42" s="143">
        <v>63</v>
      </c>
      <c r="FK42" s="143">
        <v>54</v>
      </c>
      <c r="FL42" s="143">
        <v>58</v>
      </c>
      <c r="FM42" s="143">
        <v>62</v>
      </c>
      <c r="FN42" s="143">
        <v>44</v>
      </c>
      <c r="FO42" s="143">
        <v>60</v>
      </c>
      <c r="FP42" s="143">
        <v>61</v>
      </c>
      <c r="FQ42" s="143">
        <v>31</v>
      </c>
      <c r="FR42" s="143">
        <v>47</v>
      </c>
      <c r="FS42" s="143">
        <v>46</v>
      </c>
      <c r="FT42" s="143">
        <v>45</v>
      </c>
      <c r="FU42" s="143">
        <v>46</v>
      </c>
      <c r="FV42" s="143">
        <v>54</v>
      </c>
      <c r="FW42" s="143">
        <v>46</v>
      </c>
      <c r="FX42" s="143">
        <v>26</v>
      </c>
      <c r="FY42" s="143">
        <v>41</v>
      </c>
      <c r="FZ42" s="143">
        <v>32</v>
      </c>
      <c r="GA42" s="143">
        <v>27</v>
      </c>
      <c r="GB42" s="143">
        <v>16</v>
      </c>
      <c r="GC42" s="143">
        <v>17</v>
      </c>
      <c r="GD42" s="143">
        <v>41</v>
      </c>
      <c r="GE42" s="143">
        <v>45</v>
      </c>
      <c r="GF42" s="143">
        <v>40</v>
      </c>
      <c r="GG42" s="143">
        <v>61</v>
      </c>
      <c r="GH42" s="143">
        <v>42</v>
      </c>
      <c r="GI42" s="143">
        <v>44</v>
      </c>
      <c r="GJ42" s="143">
        <v>34</v>
      </c>
      <c r="GK42" s="143">
        <v>32</v>
      </c>
      <c r="GL42" s="143">
        <v>31</v>
      </c>
      <c r="GM42" s="143">
        <v>29</v>
      </c>
      <c r="GN42" s="143">
        <v>24</v>
      </c>
      <c r="GO42" s="143">
        <v>16</v>
      </c>
      <c r="GP42" s="143">
        <v>38</v>
      </c>
      <c r="GQ42" s="143">
        <v>39</v>
      </c>
      <c r="GR42" s="143">
        <v>61</v>
      </c>
      <c r="GS42" s="143">
        <f t="shared" ref="GS42:GS45" si="34">SUM(GG42:GR42)/12</f>
        <v>37.583333333333336</v>
      </c>
      <c r="GT42" s="152"/>
      <c r="GU42" s="12" t="s">
        <v>31</v>
      </c>
      <c r="LE42" s="145">
        <f t="shared" si="29"/>
        <v>8.3333333333333329E-2</v>
      </c>
      <c r="LF42" s="145">
        <f t="shared" si="29"/>
        <v>-3.8461538461538464E-2</v>
      </c>
      <c r="LG42" s="145">
        <f t="shared" si="29"/>
        <v>0.2</v>
      </c>
      <c r="LH42" s="145">
        <f t="shared" si="29"/>
        <v>0.16666666666666666</v>
      </c>
      <c r="LI42" s="145">
        <f t="shared" si="29"/>
        <v>-0.4</v>
      </c>
      <c r="LJ42" s="145">
        <f t="shared" si="29"/>
        <v>0.2857142857142857</v>
      </c>
      <c r="LK42" s="145">
        <f t="shared" si="29"/>
        <v>-0.29629629629629628</v>
      </c>
      <c r="LL42" s="145">
        <f t="shared" si="29"/>
        <v>0.26315789473684209</v>
      </c>
      <c r="LM42" s="145">
        <f t="shared" si="29"/>
        <v>4.1666666666666664E-2</v>
      </c>
      <c r="LN42" s="145">
        <f t="shared" si="29"/>
        <v>-0.16</v>
      </c>
      <c r="LO42" s="145">
        <f t="shared" si="29"/>
        <v>0.38095238095238093</v>
      </c>
      <c r="LP42" s="145">
        <f t="shared" si="29"/>
        <v>0.37931034482758619</v>
      </c>
      <c r="LQ42" s="145">
        <f t="shared" si="29"/>
        <v>-0.05</v>
      </c>
      <c r="LR42" s="145">
        <f t="shared" si="29"/>
        <v>7.8947368421052627E-2</v>
      </c>
      <c r="LS42" s="145">
        <f t="shared" si="29"/>
        <v>0.1951219512195122</v>
      </c>
      <c r="LT42" s="145">
        <f t="shared" si="29"/>
        <v>-4.0816326530612242E-2</v>
      </c>
      <c r="LU42" s="145">
        <f t="shared" si="30"/>
        <v>-0.34042553191489361</v>
      </c>
      <c r="LV42" s="145">
        <f t="shared" si="30"/>
        <v>-0.16129032258064516</v>
      </c>
      <c r="LW42" s="145">
        <f t="shared" si="30"/>
        <v>-0.30769230769230771</v>
      </c>
      <c r="LX42" s="145">
        <f t="shared" si="30"/>
        <v>5.5555555555555552E-2</v>
      </c>
      <c r="LY42" s="145">
        <f t="shared" si="30"/>
        <v>0.57894736842105265</v>
      </c>
      <c r="LZ42" s="145">
        <f t="shared" si="30"/>
        <v>-0.2</v>
      </c>
      <c r="MA42" s="145">
        <f t="shared" si="30"/>
        <v>-0.20833333333333334</v>
      </c>
      <c r="MB42" s="145">
        <f t="shared" si="30"/>
        <v>0.21052631578947367</v>
      </c>
      <c r="MC42" s="145">
        <f t="shared" si="30"/>
        <v>0.34782608695652173</v>
      </c>
      <c r="MD42" s="145">
        <f t="shared" si="30"/>
        <v>0.29032258064516131</v>
      </c>
      <c r="ME42" s="145">
        <f t="shared" si="30"/>
        <v>-2.5000000000000001E-2</v>
      </c>
      <c r="MF42" s="145">
        <f t="shared" si="30"/>
        <v>-2.564102564102564E-2</v>
      </c>
      <c r="MG42" s="145">
        <f t="shared" si="30"/>
        <v>-0.26315789473684209</v>
      </c>
      <c r="MH42" s="145">
        <f t="shared" si="30"/>
        <v>-0.25</v>
      </c>
      <c r="MI42" s="145">
        <f t="shared" si="30"/>
        <v>9.5238095238095233E-2</v>
      </c>
      <c r="MJ42" s="145">
        <f t="shared" si="30"/>
        <v>0.30434782608695654</v>
      </c>
      <c r="MK42" s="145">
        <f t="shared" si="30"/>
        <v>0.43333333333333335</v>
      </c>
      <c r="ML42" s="145">
        <f t="shared" si="30"/>
        <v>-9.3023255813953487E-2</v>
      </c>
      <c r="MM42" s="145">
        <f t="shared" si="30"/>
        <v>-0.46153846153846156</v>
      </c>
      <c r="MN42" s="145">
        <f t="shared" si="30"/>
        <v>1.2857142857142858</v>
      </c>
      <c r="MO42" s="145">
        <f t="shared" si="30"/>
        <v>0.29166666666666669</v>
      </c>
      <c r="MP42" s="145">
        <f t="shared" si="30"/>
        <v>-0.45161290322580644</v>
      </c>
      <c r="MQ42" s="145">
        <f t="shared" si="30"/>
        <v>-0.14705882352941177</v>
      </c>
      <c r="MR42" s="145">
        <f t="shared" si="30"/>
        <v>0.86206896551724133</v>
      </c>
      <c r="MS42" s="145">
        <f>(EZ42-EY42)/EY42</f>
        <v>-0.21739130434782608</v>
      </c>
      <c r="MT42" s="145">
        <f t="shared" si="31"/>
        <v>-0.27777777777777779</v>
      </c>
      <c r="MU42" s="145">
        <f t="shared" si="31"/>
        <v>0.1</v>
      </c>
      <c r="MV42" s="145">
        <f t="shared" si="31"/>
        <v>0</v>
      </c>
      <c r="MW42" s="145">
        <f t="shared" si="31"/>
        <v>6.25E-2</v>
      </c>
      <c r="MX42" s="145">
        <f t="shared" si="31"/>
        <v>7.2463768115942032E-2</v>
      </c>
      <c r="MY42" s="145">
        <f t="shared" si="31"/>
        <v>-0.40816326530612246</v>
      </c>
      <c r="MZ42" s="145">
        <f t="shared" si="31"/>
        <v>0.18333333333333332</v>
      </c>
      <c r="NA42" s="145">
        <f t="shared" si="31"/>
        <v>-0.15384615384615385</v>
      </c>
      <c r="NB42" s="145">
        <f t="shared" si="31"/>
        <v>0.21212121212121213</v>
      </c>
      <c r="NC42" s="145">
        <f t="shared" si="31"/>
        <v>-4.7619047619047616E-2</v>
      </c>
      <c r="ND42" s="145">
        <f t="shared" si="31"/>
        <v>0</v>
      </c>
      <c r="NE42" s="145">
        <f t="shared" si="31"/>
        <v>-0.16666666666666666</v>
      </c>
      <c r="NF42" s="145">
        <f t="shared" si="31"/>
        <v>6.8965517241379309E-2</v>
      </c>
      <c r="NG42" s="145">
        <f t="shared" si="31"/>
        <v>6.4516129032258063E-2</v>
      </c>
      <c r="NH42" s="145">
        <f t="shared" si="31"/>
        <v>-0.40909090909090912</v>
      </c>
      <c r="NI42" s="145">
        <f t="shared" si="31"/>
        <v>0.26666666666666666</v>
      </c>
      <c r="NJ42" s="145">
        <f t="shared" si="32"/>
        <v>1.6393442622950821E-2</v>
      </c>
      <c r="NK42" s="145">
        <f t="shared" si="32"/>
        <v>-0.967741935483871</v>
      </c>
      <c r="NL42" s="145">
        <f t="shared" si="32"/>
        <v>0.34042553191489361</v>
      </c>
      <c r="NM42" s="145">
        <f t="shared" si="32"/>
        <v>-2.1739130434782608E-2</v>
      </c>
      <c r="NN42" s="145">
        <f t="shared" si="32"/>
        <v>-2.2222222222222223E-2</v>
      </c>
      <c r="NO42" s="145">
        <f t="shared" si="32"/>
        <v>2.1739130434782608E-2</v>
      </c>
      <c r="NP42" s="145">
        <f t="shared" si="32"/>
        <v>0.14814814814814814</v>
      </c>
      <c r="NQ42" s="145">
        <f t="shared" si="32"/>
        <v>-0.17391304347826086</v>
      </c>
      <c r="NR42" s="145">
        <f t="shared" si="32"/>
        <v>-0.76923076923076927</v>
      </c>
      <c r="NS42" s="145">
        <f t="shared" si="32"/>
        <v>0.36585365853658536</v>
      </c>
      <c r="NT42" s="145">
        <f t="shared" si="32"/>
        <v>-0.28125</v>
      </c>
      <c r="NU42" s="145">
        <f t="shared" si="32"/>
        <v>-0.18518518518518517</v>
      </c>
      <c r="NV42" s="145">
        <f t="shared" si="32"/>
        <v>-0.6875</v>
      </c>
      <c r="NW42" s="145">
        <f t="shared" si="32"/>
        <v>5.8823529411764705E-2</v>
      </c>
      <c r="NX42" s="145">
        <f t="shared" si="33"/>
        <v>0.58536585365853655</v>
      </c>
      <c r="NY42" s="145">
        <f t="shared" si="33"/>
        <v>8.8888888888888892E-2</v>
      </c>
      <c r="NZ42" s="145">
        <f t="shared" si="33"/>
        <v>-0.125</v>
      </c>
      <c r="OA42" s="145">
        <f t="shared" si="33"/>
        <v>0.34426229508196721</v>
      </c>
      <c r="OB42" s="145">
        <f t="shared" si="33"/>
        <v>-0.45238095238095238</v>
      </c>
      <c r="OC42" s="145">
        <f t="shared" si="33"/>
        <v>4.5454545454545456E-2</v>
      </c>
      <c r="OD42" s="145">
        <f t="shared" si="33"/>
        <v>-0.29411764705882354</v>
      </c>
      <c r="OE42" s="145">
        <f t="shared" si="33"/>
        <v>-6.25E-2</v>
      </c>
      <c r="OF42" s="145">
        <f t="shared" si="33"/>
        <v>-3.2258064516129031E-2</v>
      </c>
      <c r="OG42" s="145">
        <f t="shared" si="33"/>
        <v>-6.8965517241379309E-2</v>
      </c>
      <c r="OH42" s="145">
        <f t="shared" si="33"/>
        <v>-0.20833333333333334</v>
      </c>
      <c r="OI42" s="145">
        <f t="shared" si="33"/>
        <v>-0.5</v>
      </c>
      <c r="OJ42" s="145">
        <f t="shared" si="33"/>
        <v>0.57894736842105265</v>
      </c>
      <c r="OK42" s="145">
        <f t="shared" si="33"/>
        <v>2.564102564102564E-2</v>
      </c>
      <c r="OL42" s="145">
        <f t="shared" si="33"/>
        <v>0.36065573770491804</v>
      </c>
    </row>
    <row r="43" spans="1:402" s="145" customFormat="1" ht="19.5" customHeight="1" x14ac:dyDescent="0.35">
      <c r="A43" s="12" t="s">
        <v>32</v>
      </c>
      <c r="B43" s="156">
        <v>53</v>
      </c>
      <c r="C43" s="156">
        <v>18</v>
      </c>
      <c r="D43" s="156">
        <v>40</v>
      </c>
      <c r="E43" s="156">
        <v>35</v>
      </c>
      <c r="F43" s="156">
        <f>'[1]Jan 08'!C15</f>
        <v>36</v>
      </c>
      <c r="G43" s="143">
        <f>'[1]Feb 08'!C15</f>
        <v>42</v>
      </c>
      <c r="H43" s="143">
        <f>'[1]Mar 08'!C15</f>
        <v>40</v>
      </c>
      <c r="I43" s="143">
        <v>43</v>
      </c>
      <c r="J43" s="143">
        <f>'[1]May 08'!C15</f>
        <v>49</v>
      </c>
      <c r="K43" s="143">
        <f>'[1]Jun 08'!C15</f>
        <v>37</v>
      </c>
      <c r="L43" s="143">
        <f>'[1]Jul 08'!C15</f>
        <v>38</v>
      </c>
      <c r="M43" s="143">
        <f>'[1]Aug 08'!C15</f>
        <v>32</v>
      </c>
      <c r="N43" s="143">
        <v>24</v>
      </c>
      <c r="O43" s="143">
        <v>15</v>
      </c>
      <c r="P43" s="143">
        <v>22</v>
      </c>
      <c r="Q43" s="143">
        <v>11</v>
      </c>
      <c r="R43" s="143">
        <v>12</v>
      </c>
      <c r="S43" s="143">
        <v>19</v>
      </c>
      <c r="T43" s="143">
        <v>28</v>
      </c>
      <c r="U43" s="143">
        <v>30</v>
      </c>
      <c r="V43" s="143">
        <v>44</v>
      </c>
      <c r="W43" s="143">
        <v>34</v>
      </c>
      <c r="X43" s="143">
        <v>35</v>
      </c>
      <c r="Y43" s="143">
        <v>40</v>
      </c>
      <c r="Z43" s="143">
        <v>23</v>
      </c>
      <c r="AA43" s="143">
        <v>27</v>
      </c>
      <c r="AB43" s="143">
        <v>24</v>
      </c>
      <c r="AC43" s="143">
        <v>17</v>
      </c>
      <c r="AD43" s="143">
        <v>20</v>
      </c>
      <c r="AE43" s="143">
        <v>32</v>
      </c>
      <c r="AF43" s="143">
        <v>24</v>
      </c>
      <c r="AG43" s="143">
        <v>32</v>
      </c>
      <c r="AH43" s="143">
        <v>35</v>
      </c>
      <c r="AI43" s="143">
        <v>28</v>
      </c>
      <c r="AJ43" s="143">
        <v>18</v>
      </c>
      <c r="AK43" s="143">
        <v>16</v>
      </c>
      <c r="AL43" s="143">
        <v>18</v>
      </c>
      <c r="AM43" s="143">
        <v>23</v>
      </c>
      <c r="AN43" s="143">
        <v>26</v>
      </c>
      <c r="AO43" s="143">
        <v>17</v>
      </c>
      <c r="AP43" s="143">
        <v>19</v>
      </c>
      <c r="AQ43" s="143">
        <v>28</v>
      </c>
      <c r="AR43" s="143">
        <v>28</v>
      </c>
      <c r="AS43" s="143">
        <v>34</v>
      </c>
      <c r="AT43" s="143">
        <v>38</v>
      </c>
      <c r="AU43" s="143">
        <v>26</v>
      </c>
      <c r="AV43" s="143">
        <v>15</v>
      </c>
      <c r="AW43" s="143">
        <v>20</v>
      </c>
      <c r="AX43" s="143">
        <v>20</v>
      </c>
      <c r="AY43" s="143">
        <v>20</v>
      </c>
      <c r="AZ43" s="143">
        <v>11</v>
      </c>
      <c r="BA43" s="143">
        <v>13</v>
      </c>
      <c r="BB43" s="143">
        <v>17</v>
      </c>
      <c r="BC43" s="143">
        <v>27</v>
      </c>
      <c r="BD43" s="143">
        <v>33</v>
      </c>
      <c r="BE43" s="143">
        <v>31</v>
      </c>
      <c r="BF43" s="143">
        <v>34</v>
      </c>
      <c r="BG43" s="143">
        <v>19</v>
      </c>
      <c r="BH43" s="143">
        <v>15</v>
      </c>
      <c r="BI43" s="143">
        <v>22</v>
      </c>
      <c r="BJ43" s="143">
        <v>15</v>
      </c>
      <c r="BK43" s="143">
        <v>18</v>
      </c>
      <c r="BL43" s="143">
        <v>20</v>
      </c>
      <c r="BM43" s="143">
        <v>16</v>
      </c>
      <c r="BN43" s="143">
        <v>21</v>
      </c>
      <c r="BO43" s="143">
        <v>25</v>
      </c>
      <c r="BP43" s="143">
        <v>31</v>
      </c>
      <c r="BQ43" s="143">
        <v>29</v>
      </c>
      <c r="BR43" s="143">
        <v>34</v>
      </c>
      <c r="BS43" s="143">
        <v>37</v>
      </c>
      <c r="BT43" s="143">
        <v>26</v>
      </c>
      <c r="BU43" s="143">
        <v>30</v>
      </c>
      <c r="BV43" s="143">
        <v>24</v>
      </c>
      <c r="BW43" s="143">
        <v>22</v>
      </c>
      <c r="BX43" s="143">
        <v>21</v>
      </c>
      <c r="BY43" s="143">
        <v>14</v>
      </c>
      <c r="BZ43" s="143">
        <v>18</v>
      </c>
      <c r="CA43" s="143">
        <v>30</v>
      </c>
      <c r="CB43" s="143">
        <v>36</v>
      </c>
      <c r="CC43" s="143">
        <v>33</v>
      </c>
      <c r="CD43" s="143">
        <v>29</v>
      </c>
      <c r="CE43" s="143">
        <v>31</v>
      </c>
      <c r="CF43" s="143">
        <v>19</v>
      </c>
      <c r="CG43" s="143">
        <v>23</v>
      </c>
      <c r="CH43" s="143">
        <v>21</v>
      </c>
      <c r="CI43" s="143">
        <v>18</v>
      </c>
      <c r="CJ43" s="143">
        <v>21</v>
      </c>
      <c r="CK43" s="143">
        <v>13</v>
      </c>
      <c r="CL43" s="143">
        <v>20</v>
      </c>
      <c r="CM43" s="143">
        <v>27</v>
      </c>
      <c r="CN43" s="143">
        <v>32</v>
      </c>
      <c r="CO43" s="143">
        <v>35</v>
      </c>
      <c r="CP43" s="143">
        <v>25</v>
      </c>
      <c r="CQ43" s="143">
        <v>26</v>
      </c>
      <c r="CR43" s="143">
        <v>24</v>
      </c>
      <c r="CS43" s="143">
        <v>26</v>
      </c>
      <c r="CT43" s="143">
        <v>18</v>
      </c>
      <c r="CU43" s="143">
        <v>20</v>
      </c>
      <c r="CV43" s="143">
        <v>24</v>
      </c>
      <c r="CW43" s="143">
        <v>14</v>
      </c>
      <c r="CX43" s="143">
        <v>18</v>
      </c>
      <c r="CY43" s="143">
        <v>28</v>
      </c>
      <c r="CZ43" s="143">
        <v>21</v>
      </c>
      <c r="DA43" s="143">
        <v>28</v>
      </c>
      <c r="DB43" s="143">
        <v>41</v>
      </c>
      <c r="DC43" s="143">
        <v>25</v>
      </c>
      <c r="DD43" s="143">
        <v>27</v>
      </c>
      <c r="DE43" s="143">
        <v>20</v>
      </c>
      <c r="DF43" s="143">
        <v>21</v>
      </c>
      <c r="DG43" s="143">
        <v>23</v>
      </c>
      <c r="DH43" s="143">
        <v>21</v>
      </c>
      <c r="DI43" s="143">
        <v>21</v>
      </c>
      <c r="DJ43" s="143">
        <v>22</v>
      </c>
      <c r="DK43" s="143">
        <v>26</v>
      </c>
      <c r="DL43" s="143">
        <v>35</v>
      </c>
      <c r="DM43" s="143">
        <v>30</v>
      </c>
      <c r="DN43" s="143">
        <v>35</v>
      </c>
      <c r="DO43" s="143">
        <v>32</v>
      </c>
      <c r="DP43" s="143">
        <v>25</v>
      </c>
      <c r="DQ43" s="143">
        <v>28</v>
      </c>
      <c r="DR43" s="143">
        <v>21</v>
      </c>
      <c r="DS43" s="143">
        <v>21</v>
      </c>
      <c r="DT43" s="143">
        <v>23</v>
      </c>
      <c r="DU43" s="143">
        <v>16</v>
      </c>
      <c r="DV43" s="143">
        <v>18</v>
      </c>
      <c r="DW43" s="143">
        <v>38</v>
      </c>
      <c r="DX43" s="143">
        <v>47</v>
      </c>
      <c r="DY43" s="143">
        <v>41</v>
      </c>
      <c r="DZ43" s="143">
        <v>39</v>
      </c>
      <c r="EA43" s="143">
        <v>32</v>
      </c>
      <c r="EB43" s="143">
        <v>37</v>
      </c>
      <c r="EC43" s="143">
        <v>29</v>
      </c>
      <c r="ED43" s="143">
        <v>28</v>
      </c>
      <c r="EE43" s="143">
        <v>27</v>
      </c>
      <c r="EF43" s="143">
        <v>30</v>
      </c>
      <c r="EG43" s="143">
        <v>19</v>
      </c>
      <c r="EH43" s="143">
        <v>20</v>
      </c>
      <c r="EI43" s="143">
        <v>24</v>
      </c>
      <c r="EJ43" s="143">
        <v>38</v>
      </c>
      <c r="EK43" s="143">
        <v>40</v>
      </c>
      <c r="EL43" s="143">
        <v>35</v>
      </c>
      <c r="EM43" s="143">
        <v>20</v>
      </c>
      <c r="EN43" s="143">
        <v>21</v>
      </c>
      <c r="EO43" s="143">
        <v>21</v>
      </c>
      <c r="EP43" s="143">
        <v>25</v>
      </c>
      <c r="EQ43" s="143">
        <v>24</v>
      </c>
      <c r="ER43" s="143">
        <v>37</v>
      </c>
      <c r="ES43" s="143">
        <v>29</v>
      </c>
      <c r="ET43" s="143">
        <v>32</v>
      </c>
      <c r="EU43" s="143">
        <v>44</v>
      </c>
      <c r="EV43" s="143">
        <v>35</v>
      </c>
      <c r="EW43" s="143">
        <v>19</v>
      </c>
      <c r="EX43" s="143">
        <v>36</v>
      </c>
      <c r="EY43" s="143">
        <v>37</v>
      </c>
      <c r="EZ43" s="143">
        <v>49</v>
      </c>
      <c r="FA43" s="143">
        <v>56</v>
      </c>
      <c r="FB43" s="143">
        <v>52</v>
      </c>
      <c r="FC43" s="143">
        <v>71</v>
      </c>
      <c r="FD43" s="143">
        <v>77</v>
      </c>
      <c r="FE43" s="143">
        <v>39</v>
      </c>
      <c r="FF43" s="143">
        <v>64</v>
      </c>
      <c r="FG43" s="143">
        <v>70</v>
      </c>
      <c r="FH43" s="143">
        <v>73</v>
      </c>
      <c r="FI43" s="143">
        <v>87</v>
      </c>
      <c r="FJ43" s="143">
        <v>58</v>
      </c>
      <c r="FK43" s="143">
        <v>63</v>
      </c>
      <c r="FL43" s="143">
        <v>45</v>
      </c>
      <c r="FM43" s="143">
        <v>54</v>
      </c>
      <c r="FN43" s="143">
        <v>52</v>
      </c>
      <c r="FO43" s="143">
        <v>57</v>
      </c>
      <c r="FP43" s="143">
        <v>59</v>
      </c>
      <c r="FQ43" s="143">
        <v>44</v>
      </c>
      <c r="FR43" s="143">
        <v>60</v>
      </c>
      <c r="FS43" s="143">
        <v>75</v>
      </c>
      <c r="FT43" s="143">
        <v>75</v>
      </c>
      <c r="FU43" s="143">
        <v>73</v>
      </c>
      <c r="FV43" s="143">
        <v>54</v>
      </c>
      <c r="FW43" s="143">
        <v>38</v>
      </c>
      <c r="FX43" s="143">
        <v>35</v>
      </c>
      <c r="FY43" s="143">
        <v>39</v>
      </c>
      <c r="FZ43" s="143">
        <v>54</v>
      </c>
      <c r="GA43" s="143">
        <v>38</v>
      </c>
      <c r="GB43" s="143">
        <v>28</v>
      </c>
      <c r="GC43" s="143">
        <v>37</v>
      </c>
      <c r="GD43" s="143">
        <v>49</v>
      </c>
      <c r="GE43" s="143">
        <v>76</v>
      </c>
      <c r="GF43" s="143">
        <v>58</v>
      </c>
      <c r="GG43" s="143">
        <v>64</v>
      </c>
      <c r="GH43" s="143">
        <v>52</v>
      </c>
      <c r="GI43" s="143">
        <v>43</v>
      </c>
      <c r="GJ43" s="143">
        <v>43</v>
      </c>
      <c r="GK43" s="143">
        <v>30</v>
      </c>
      <c r="GL43" s="143">
        <v>39</v>
      </c>
      <c r="GM43" s="143">
        <v>26</v>
      </c>
      <c r="GN43" s="143">
        <v>18</v>
      </c>
      <c r="GO43" s="143">
        <v>28</v>
      </c>
      <c r="GP43" s="143">
        <v>40</v>
      </c>
      <c r="GQ43" s="143">
        <v>50</v>
      </c>
      <c r="GR43" s="143">
        <v>55</v>
      </c>
      <c r="GS43" s="143">
        <f t="shared" si="34"/>
        <v>40.666666666666664</v>
      </c>
      <c r="GT43" s="152"/>
      <c r="GU43" s="12" t="s">
        <v>32</v>
      </c>
      <c r="GV43" s="145" t="s">
        <v>30</v>
      </c>
      <c r="GW43" s="145">
        <f t="shared" ref="GW43:HL45" si="35">(C43-B43)/B43</f>
        <v>-0.660377358490566</v>
      </c>
      <c r="GX43" s="145">
        <f t="shared" si="35"/>
        <v>1.2222222222222223</v>
      </c>
      <c r="GY43" s="145">
        <f t="shared" si="35"/>
        <v>-0.125</v>
      </c>
      <c r="GZ43" s="145">
        <f t="shared" si="35"/>
        <v>2.8571428571428571E-2</v>
      </c>
      <c r="HA43" s="145">
        <f t="shared" si="35"/>
        <v>0.16666666666666666</v>
      </c>
      <c r="HB43" s="145">
        <f t="shared" si="35"/>
        <v>-4.7619047619047616E-2</v>
      </c>
      <c r="HC43" s="145">
        <f t="shared" si="35"/>
        <v>7.4999999999999997E-2</v>
      </c>
      <c r="HD43" s="145">
        <f t="shared" si="35"/>
        <v>0.13953488372093023</v>
      </c>
      <c r="HE43" s="145">
        <f t="shared" si="35"/>
        <v>-0.24489795918367346</v>
      </c>
      <c r="HF43" s="145">
        <f t="shared" si="35"/>
        <v>2.7027027027027029E-2</v>
      </c>
      <c r="HG43" s="145">
        <f t="shared" si="35"/>
        <v>-0.15789473684210525</v>
      </c>
      <c r="HH43" s="145">
        <f t="shared" si="35"/>
        <v>-0.25</v>
      </c>
      <c r="HI43" s="145">
        <f t="shared" si="35"/>
        <v>-0.375</v>
      </c>
      <c r="HJ43" s="145">
        <f t="shared" si="35"/>
        <v>0.46666666666666667</v>
      </c>
      <c r="HK43" s="145">
        <f t="shared" si="35"/>
        <v>-0.5</v>
      </c>
      <c r="HL43" s="145">
        <f t="shared" si="35"/>
        <v>9.0909090909090912E-2</v>
      </c>
      <c r="HM43" s="145">
        <f t="shared" ref="HM43:IB45" si="36">(S43-R43)/R43</f>
        <v>0.58333333333333337</v>
      </c>
      <c r="HN43" s="145">
        <f t="shared" si="36"/>
        <v>0.47368421052631576</v>
      </c>
      <c r="HO43" s="145">
        <f t="shared" si="36"/>
        <v>7.1428571428571425E-2</v>
      </c>
      <c r="HP43" s="145">
        <f t="shared" si="36"/>
        <v>0.46666666666666667</v>
      </c>
      <c r="HQ43" s="145">
        <f t="shared" si="36"/>
        <v>-0.22727272727272727</v>
      </c>
      <c r="HR43" s="145">
        <f t="shared" si="36"/>
        <v>2.9411764705882353E-2</v>
      </c>
      <c r="HS43" s="145">
        <f t="shared" si="36"/>
        <v>0.14285714285714285</v>
      </c>
      <c r="HT43" s="145">
        <f t="shared" si="36"/>
        <v>-0.42499999999999999</v>
      </c>
      <c r="HU43" s="145">
        <f t="shared" si="36"/>
        <v>0.17391304347826086</v>
      </c>
      <c r="HV43" s="145">
        <f t="shared" si="36"/>
        <v>-0.1111111111111111</v>
      </c>
      <c r="HW43" s="145">
        <f t="shared" si="36"/>
        <v>-0.29166666666666669</v>
      </c>
      <c r="HX43" s="145">
        <f t="shared" si="36"/>
        <v>0.17647058823529413</v>
      </c>
      <c r="HY43" s="145">
        <f t="shared" si="36"/>
        <v>0.6</v>
      </c>
      <c r="HZ43" s="145">
        <f t="shared" si="36"/>
        <v>-0.25</v>
      </c>
      <c r="IA43" s="145">
        <f t="shared" si="36"/>
        <v>0.33333333333333331</v>
      </c>
      <c r="IB43" s="145">
        <f t="shared" si="36"/>
        <v>9.375E-2</v>
      </c>
      <c r="IC43" s="145">
        <f t="shared" ref="IC43:IR45" si="37">(AI43-AH43)/AH43</f>
        <v>-0.2</v>
      </c>
      <c r="ID43" s="145">
        <f t="shared" si="37"/>
        <v>-0.35714285714285715</v>
      </c>
      <c r="IE43" s="145">
        <f t="shared" si="37"/>
        <v>-0.1111111111111111</v>
      </c>
      <c r="IF43" s="145">
        <f t="shared" si="37"/>
        <v>0.125</v>
      </c>
      <c r="IG43" s="145">
        <f t="shared" si="37"/>
        <v>0.27777777777777779</v>
      </c>
      <c r="IH43" s="145">
        <f t="shared" si="37"/>
        <v>0.13043478260869565</v>
      </c>
      <c r="II43" s="145">
        <f t="shared" si="37"/>
        <v>-0.34615384615384615</v>
      </c>
      <c r="IJ43" s="145">
        <f t="shared" si="37"/>
        <v>0.11764705882352941</v>
      </c>
      <c r="IK43" s="145">
        <f t="shared" si="37"/>
        <v>0.47368421052631576</v>
      </c>
      <c r="IL43" s="145">
        <f t="shared" si="37"/>
        <v>0</v>
      </c>
      <c r="IM43" s="145">
        <f t="shared" si="37"/>
        <v>0.21428571428571427</v>
      </c>
      <c r="IN43" s="145">
        <f t="shared" si="37"/>
        <v>0.11764705882352941</v>
      </c>
      <c r="IO43" s="145">
        <f t="shared" si="37"/>
        <v>-0.31578947368421051</v>
      </c>
      <c r="IP43" s="145">
        <f t="shared" si="37"/>
        <v>-0.42307692307692307</v>
      </c>
      <c r="IQ43" s="145">
        <f t="shared" si="37"/>
        <v>0.33333333333333331</v>
      </c>
      <c r="IR43" s="145">
        <f t="shared" si="37"/>
        <v>0</v>
      </c>
      <c r="IS43" s="145">
        <f t="shared" ref="IS43:JH45" si="38">(AY43-AX43)/AX43</f>
        <v>0</v>
      </c>
      <c r="IT43" s="145">
        <f t="shared" si="38"/>
        <v>-0.45</v>
      </c>
      <c r="IU43" s="145">
        <f t="shared" si="38"/>
        <v>0.18181818181818182</v>
      </c>
      <c r="IV43" s="145">
        <f t="shared" si="38"/>
        <v>0.30769230769230771</v>
      </c>
      <c r="IW43" s="145">
        <f t="shared" si="38"/>
        <v>0.58823529411764708</v>
      </c>
      <c r="IX43" s="145">
        <f t="shared" si="38"/>
        <v>0.22222222222222221</v>
      </c>
      <c r="IY43" s="145">
        <f t="shared" si="38"/>
        <v>-6.0606060606060608E-2</v>
      </c>
      <c r="IZ43" s="145">
        <f t="shared" si="38"/>
        <v>9.6774193548387094E-2</v>
      </c>
      <c r="JA43" s="145">
        <f t="shared" si="38"/>
        <v>-0.44117647058823528</v>
      </c>
      <c r="JB43" s="145">
        <f t="shared" si="38"/>
        <v>-0.21052631578947367</v>
      </c>
      <c r="JC43" s="145">
        <f t="shared" si="38"/>
        <v>0.46666666666666667</v>
      </c>
      <c r="JD43" s="145">
        <f t="shared" si="38"/>
        <v>-0.31818181818181818</v>
      </c>
      <c r="JE43" s="145">
        <f t="shared" si="38"/>
        <v>0.2</v>
      </c>
      <c r="JF43" s="145">
        <f t="shared" si="38"/>
        <v>0.1111111111111111</v>
      </c>
      <c r="JG43" s="145">
        <f t="shared" si="38"/>
        <v>-0.2</v>
      </c>
      <c r="JH43" s="145">
        <f t="shared" si="38"/>
        <v>0.3125</v>
      </c>
      <c r="JI43" s="145">
        <f t="shared" ref="JI43:JX45" si="39">(BO43-BN43)/BN43</f>
        <v>0.19047619047619047</v>
      </c>
      <c r="JJ43" s="145">
        <f t="shared" si="39"/>
        <v>0.24</v>
      </c>
      <c r="JK43" s="145">
        <f t="shared" si="39"/>
        <v>-6.4516129032258063E-2</v>
      </c>
      <c r="JL43" s="145">
        <f t="shared" si="39"/>
        <v>0.17241379310344829</v>
      </c>
      <c r="JM43" s="145">
        <f t="shared" si="39"/>
        <v>8.8235294117647065E-2</v>
      </c>
      <c r="JN43" s="145">
        <f t="shared" si="39"/>
        <v>-0.29729729729729731</v>
      </c>
      <c r="JO43" s="145">
        <f t="shared" si="39"/>
        <v>0.15384615384615385</v>
      </c>
      <c r="JP43" s="145">
        <f t="shared" si="39"/>
        <v>-0.2</v>
      </c>
      <c r="JQ43" s="145">
        <f t="shared" si="39"/>
        <v>-8.3333333333333329E-2</v>
      </c>
      <c r="JR43" s="145">
        <f t="shared" si="39"/>
        <v>-4.5454545454545456E-2</v>
      </c>
      <c r="JS43" s="145">
        <f t="shared" si="39"/>
        <v>-0.33333333333333331</v>
      </c>
      <c r="JT43" s="145">
        <f t="shared" si="39"/>
        <v>0.2857142857142857</v>
      </c>
      <c r="JU43" s="145">
        <f t="shared" si="39"/>
        <v>0.66666666666666663</v>
      </c>
      <c r="JV43" s="145">
        <f t="shared" si="39"/>
        <v>0.2</v>
      </c>
      <c r="JW43" s="145">
        <f t="shared" si="39"/>
        <v>-8.3333333333333329E-2</v>
      </c>
      <c r="JX43" s="145">
        <f t="shared" si="39"/>
        <v>-0.12121212121212122</v>
      </c>
      <c r="JY43" s="145">
        <f t="shared" ref="JY43:KN45" si="40">(CE43-CD43)/CD43</f>
        <v>6.8965517241379309E-2</v>
      </c>
      <c r="JZ43" s="145">
        <f t="shared" si="40"/>
        <v>-0.38709677419354838</v>
      </c>
      <c r="KA43" s="145">
        <f t="shared" si="40"/>
        <v>0.21052631578947367</v>
      </c>
      <c r="KB43" s="145">
        <f t="shared" si="40"/>
        <v>-8.6956521739130432E-2</v>
      </c>
      <c r="KC43" s="145">
        <f t="shared" si="40"/>
        <v>-0.14285714285714285</v>
      </c>
      <c r="KD43" s="145">
        <f t="shared" si="40"/>
        <v>0.16666666666666666</v>
      </c>
      <c r="KE43" s="145">
        <f t="shared" si="40"/>
        <v>-0.38095238095238093</v>
      </c>
      <c r="KF43" s="145">
        <f t="shared" si="40"/>
        <v>0.53846153846153844</v>
      </c>
      <c r="KG43" s="145">
        <f t="shared" si="40"/>
        <v>0.35</v>
      </c>
      <c r="KH43" s="145">
        <f t="shared" si="40"/>
        <v>0.18518518518518517</v>
      </c>
      <c r="KI43" s="145">
        <f t="shared" si="40"/>
        <v>9.375E-2</v>
      </c>
      <c r="KJ43" s="145">
        <f t="shared" si="40"/>
        <v>-0.2857142857142857</v>
      </c>
      <c r="KK43" s="145">
        <f t="shared" si="40"/>
        <v>0.04</v>
      </c>
      <c r="KL43" s="145">
        <f t="shared" si="40"/>
        <v>-7.6923076923076927E-2</v>
      </c>
      <c r="KM43" s="145">
        <f t="shared" si="40"/>
        <v>8.3333333333333329E-2</v>
      </c>
      <c r="KN43" s="145">
        <f t="shared" si="40"/>
        <v>-0.30769230769230771</v>
      </c>
      <c r="KO43" s="145">
        <f t="shared" ref="KO43:LD45" si="41">(CU43-CT43)/CT43</f>
        <v>0.1111111111111111</v>
      </c>
      <c r="KP43" s="145">
        <f t="shared" si="41"/>
        <v>0.2</v>
      </c>
      <c r="KQ43" s="145">
        <f t="shared" si="41"/>
        <v>-0.41666666666666669</v>
      </c>
      <c r="KR43" s="145">
        <f t="shared" si="41"/>
        <v>0.2857142857142857</v>
      </c>
      <c r="KS43" s="145">
        <f t="shared" si="41"/>
        <v>0.55555555555555558</v>
      </c>
      <c r="KT43" s="145">
        <f t="shared" si="41"/>
        <v>-0.25</v>
      </c>
      <c r="KU43" s="145">
        <f t="shared" si="41"/>
        <v>0.33333333333333331</v>
      </c>
      <c r="KV43" s="145">
        <f t="shared" si="41"/>
        <v>0.4642857142857143</v>
      </c>
      <c r="KW43" s="145">
        <f t="shared" si="41"/>
        <v>-0.3902439024390244</v>
      </c>
      <c r="KX43" s="145">
        <f t="shared" si="41"/>
        <v>0.08</v>
      </c>
      <c r="KY43" s="145">
        <f t="shared" si="41"/>
        <v>-0.25925925925925924</v>
      </c>
      <c r="KZ43" s="145">
        <f t="shared" si="41"/>
        <v>0.05</v>
      </c>
      <c r="LA43" s="145">
        <f t="shared" si="41"/>
        <v>9.5238095238095233E-2</v>
      </c>
      <c r="LB43" s="145">
        <f t="shared" si="41"/>
        <v>-8.6956521739130432E-2</v>
      </c>
      <c r="LC43" s="145">
        <f t="shared" si="41"/>
        <v>0</v>
      </c>
      <c r="LD43" s="145">
        <f t="shared" si="41"/>
        <v>4.7619047619047616E-2</v>
      </c>
      <c r="LE43" s="145">
        <f t="shared" si="29"/>
        <v>0.18181818181818182</v>
      </c>
      <c r="LF43" s="145">
        <f t="shared" si="29"/>
        <v>0.34615384615384615</v>
      </c>
      <c r="LG43" s="145">
        <f t="shared" si="29"/>
        <v>-0.14285714285714285</v>
      </c>
      <c r="LH43" s="145">
        <f t="shared" si="29"/>
        <v>0.16666666666666666</v>
      </c>
      <c r="LI43" s="145">
        <f t="shared" si="29"/>
        <v>-8.5714285714285715E-2</v>
      </c>
      <c r="LJ43" s="145">
        <f t="shared" si="29"/>
        <v>-0.21875</v>
      </c>
      <c r="LK43" s="145">
        <f t="shared" si="29"/>
        <v>0.12</v>
      </c>
      <c r="LL43" s="145">
        <f t="shared" si="29"/>
        <v>-0.25</v>
      </c>
      <c r="LM43" s="145">
        <f t="shared" si="29"/>
        <v>0</v>
      </c>
      <c r="LN43" s="145">
        <f t="shared" si="29"/>
        <v>9.5238095238095233E-2</v>
      </c>
      <c r="LO43" s="145">
        <f t="shared" si="29"/>
        <v>-0.30434782608695654</v>
      </c>
      <c r="LP43" s="145">
        <f t="shared" si="29"/>
        <v>0.125</v>
      </c>
      <c r="LQ43" s="145">
        <f t="shared" si="29"/>
        <v>1.1111111111111112</v>
      </c>
      <c r="LR43" s="145">
        <f t="shared" si="29"/>
        <v>0.23684210526315788</v>
      </c>
      <c r="LS43" s="145">
        <f t="shared" si="29"/>
        <v>-0.1276595744680851</v>
      </c>
      <c r="LT43" s="145">
        <f t="shared" si="29"/>
        <v>-4.878048780487805E-2</v>
      </c>
      <c r="LU43" s="145">
        <f t="shared" si="30"/>
        <v>-0.17948717948717949</v>
      </c>
      <c r="LV43" s="145">
        <f t="shared" si="30"/>
        <v>0.15625</v>
      </c>
      <c r="LW43" s="145">
        <f t="shared" si="30"/>
        <v>-0.21621621621621623</v>
      </c>
      <c r="LX43" s="145">
        <f t="shared" si="30"/>
        <v>-3.4482758620689655E-2</v>
      </c>
      <c r="LY43" s="145">
        <f t="shared" si="30"/>
        <v>-3.5714285714285712E-2</v>
      </c>
      <c r="LZ43" s="145">
        <f t="shared" si="30"/>
        <v>0.1111111111111111</v>
      </c>
      <c r="MA43" s="145">
        <f t="shared" si="30"/>
        <v>-0.36666666666666664</v>
      </c>
      <c r="MB43" s="145">
        <f t="shared" si="30"/>
        <v>5.2631578947368418E-2</v>
      </c>
      <c r="MC43" s="145">
        <f t="shared" si="30"/>
        <v>0.2</v>
      </c>
      <c r="MD43" s="145">
        <f t="shared" si="30"/>
        <v>0.58333333333333337</v>
      </c>
      <c r="ME43" s="145">
        <f t="shared" si="30"/>
        <v>5.2631578947368418E-2</v>
      </c>
      <c r="MF43" s="145">
        <f t="shared" si="30"/>
        <v>-0.125</v>
      </c>
      <c r="MG43" s="145">
        <f t="shared" si="30"/>
        <v>-0.42857142857142855</v>
      </c>
      <c r="MH43" s="145">
        <f t="shared" si="30"/>
        <v>0.05</v>
      </c>
      <c r="MI43" s="145">
        <f t="shared" si="30"/>
        <v>0</v>
      </c>
      <c r="MJ43" s="145">
        <f t="shared" si="30"/>
        <v>0.19047619047619047</v>
      </c>
      <c r="MK43" s="145">
        <f t="shared" si="30"/>
        <v>-0.04</v>
      </c>
      <c r="ML43" s="145">
        <f t="shared" si="30"/>
        <v>0.54166666666666663</v>
      </c>
      <c r="MM43" s="145">
        <f t="shared" si="30"/>
        <v>-0.21621621621621623</v>
      </c>
      <c r="MN43" s="145">
        <f t="shared" si="30"/>
        <v>0.10344827586206896</v>
      </c>
      <c r="MO43" s="145">
        <f t="shared" si="30"/>
        <v>0.375</v>
      </c>
      <c r="MP43" s="145">
        <f t="shared" si="30"/>
        <v>-0.20454545454545456</v>
      </c>
      <c r="MQ43" s="145">
        <f t="shared" si="30"/>
        <v>-0.45714285714285713</v>
      </c>
      <c r="MR43" s="145">
        <f t="shared" si="30"/>
        <v>0.89473684210526316</v>
      </c>
      <c r="MS43" s="145">
        <f>(EZ43-EY43)/EY43</f>
        <v>0.32432432432432434</v>
      </c>
      <c r="MT43" s="145">
        <f t="shared" si="31"/>
        <v>0.24489795918367346</v>
      </c>
      <c r="MU43" s="145">
        <f t="shared" si="31"/>
        <v>0.125</v>
      </c>
      <c r="MV43" s="145">
        <f t="shared" si="31"/>
        <v>-7.6923076923076927E-2</v>
      </c>
      <c r="MW43" s="145">
        <f t="shared" si="31"/>
        <v>0.26760563380281688</v>
      </c>
      <c r="MX43" s="145">
        <f t="shared" si="31"/>
        <v>7.792207792207792E-2</v>
      </c>
      <c r="MY43" s="145">
        <f t="shared" si="31"/>
        <v>-0.97435897435897434</v>
      </c>
      <c r="MZ43" s="145">
        <f t="shared" si="31"/>
        <v>0.390625</v>
      </c>
      <c r="NA43" s="145">
        <f t="shared" si="31"/>
        <v>8.5714285714285715E-2</v>
      </c>
      <c r="NB43" s="145">
        <f t="shared" si="31"/>
        <v>4.1095890410958902E-2</v>
      </c>
      <c r="NC43" s="145">
        <f t="shared" si="31"/>
        <v>0.16091954022988506</v>
      </c>
      <c r="ND43" s="145">
        <f t="shared" si="31"/>
        <v>-0.5</v>
      </c>
      <c r="NE43" s="145">
        <f t="shared" si="31"/>
        <v>7.9365079365079361E-2</v>
      </c>
      <c r="NF43" s="145">
        <f t="shared" si="31"/>
        <v>-0.4</v>
      </c>
      <c r="NG43" s="145">
        <f t="shared" si="31"/>
        <v>0.16666666666666666</v>
      </c>
      <c r="NH43" s="145">
        <f t="shared" si="31"/>
        <v>-3.8461538461538464E-2</v>
      </c>
      <c r="NI43" s="145">
        <f t="shared" si="31"/>
        <v>8.771929824561403E-2</v>
      </c>
      <c r="NJ43" s="145">
        <f t="shared" si="32"/>
        <v>3.3898305084745763E-2</v>
      </c>
      <c r="NK43" s="145">
        <f t="shared" si="32"/>
        <v>-0.34090909090909088</v>
      </c>
      <c r="NL43" s="145">
        <f t="shared" si="32"/>
        <v>0.26666666666666666</v>
      </c>
      <c r="NM43" s="145">
        <f t="shared" si="32"/>
        <v>0.2</v>
      </c>
      <c r="NN43" s="145">
        <f t="shared" si="32"/>
        <v>0</v>
      </c>
      <c r="NO43" s="145">
        <f t="shared" si="32"/>
        <v>-2.7397260273972601E-2</v>
      </c>
      <c r="NP43" s="145">
        <f t="shared" si="32"/>
        <v>-0.35185185185185186</v>
      </c>
      <c r="NQ43" s="145">
        <f t="shared" si="32"/>
        <v>-0.42105263157894735</v>
      </c>
      <c r="NR43" s="145">
        <f t="shared" si="32"/>
        <v>-8.5714285714285715E-2</v>
      </c>
      <c r="NS43" s="145">
        <f t="shared" si="32"/>
        <v>0.10256410256410256</v>
      </c>
      <c r="NT43" s="145">
        <f t="shared" si="32"/>
        <v>0.27777777777777779</v>
      </c>
      <c r="NU43" s="145">
        <f t="shared" si="32"/>
        <v>-0.42105263157894735</v>
      </c>
      <c r="NV43" s="145">
        <f t="shared" si="32"/>
        <v>-0.35714285714285715</v>
      </c>
      <c r="NW43" s="145">
        <f t="shared" si="32"/>
        <v>0.24324324324324326</v>
      </c>
      <c r="NX43" s="145">
        <f t="shared" si="33"/>
        <v>0.24489795918367346</v>
      </c>
      <c r="NY43" s="145">
        <f t="shared" si="33"/>
        <v>0.35526315789473684</v>
      </c>
      <c r="NZ43" s="145">
        <f t="shared" si="33"/>
        <v>-0.31034482758620691</v>
      </c>
      <c r="OA43" s="145">
        <f t="shared" si="33"/>
        <v>9.375E-2</v>
      </c>
      <c r="OB43" s="145">
        <f t="shared" si="33"/>
        <v>-0.23076923076923078</v>
      </c>
      <c r="OC43" s="145">
        <f t="shared" si="33"/>
        <v>-0.20930232558139536</v>
      </c>
      <c r="OD43" s="145">
        <f t="shared" si="33"/>
        <v>0</v>
      </c>
      <c r="OE43" s="145">
        <f t="shared" si="33"/>
        <v>-0.43333333333333335</v>
      </c>
      <c r="OF43" s="145">
        <f t="shared" si="33"/>
        <v>0.23076923076923078</v>
      </c>
      <c r="OG43" s="145">
        <f t="shared" si="33"/>
        <v>-0.5</v>
      </c>
      <c r="OH43" s="145">
        <f t="shared" si="33"/>
        <v>-0.44444444444444442</v>
      </c>
      <c r="OI43" s="145">
        <f t="shared" si="33"/>
        <v>0.35714285714285715</v>
      </c>
      <c r="OJ43" s="145">
        <f t="shared" si="33"/>
        <v>0.3</v>
      </c>
      <c r="OK43" s="145">
        <f t="shared" si="33"/>
        <v>0.2</v>
      </c>
      <c r="OL43" s="145">
        <f t="shared" si="33"/>
        <v>9.0909090909090912E-2</v>
      </c>
    </row>
    <row r="44" spans="1:402" s="145" customFormat="1" ht="19.5" customHeight="1" x14ac:dyDescent="0.35">
      <c r="A44" s="12" t="s">
        <v>33</v>
      </c>
      <c r="B44" s="156">
        <v>21</v>
      </c>
      <c r="C44" s="156">
        <v>25</v>
      </c>
      <c r="D44" s="156">
        <v>27</v>
      </c>
      <c r="E44" s="156">
        <v>26</v>
      </c>
      <c r="F44" s="156">
        <f>'[1]Jan 08'!C17</f>
        <v>21</v>
      </c>
      <c r="G44" s="143">
        <f>'[1]Feb 08'!C17</f>
        <v>19</v>
      </c>
      <c r="H44" s="143">
        <f>'[1]Mar 08'!C17</f>
        <v>24</v>
      </c>
      <c r="I44" s="143">
        <v>24</v>
      </c>
      <c r="J44" s="143">
        <f>'[1]May 08'!C17</f>
        <v>27</v>
      </c>
      <c r="K44" s="143">
        <f>'[1]Jun 08'!C17</f>
        <v>31</v>
      </c>
      <c r="L44" s="143">
        <f>'[1]Jul 08'!C17</f>
        <v>24</v>
      </c>
      <c r="M44" s="143">
        <f>'[1]Aug 08'!C17</f>
        <v>18</v>
      </c>
      <c r="N44" s="143">
        <v>18</v>
      </c>
      <c r="O44" s="143">
        <v>14</v>
      </c>
      <c r="P44" s="143">
        <v>2</v>
      </c>
      <c r="Q44" s="143">
        <v>16</v>
      </c>
      <c r="R44" s="143">
        <v>8</v>
      </c>
      <c r="S44" s="143">
        <v>15</v>
      </c>
      <c r="T44" s="143">
        <v>12</v>
      </c>
      <c r="U44" s="143">
        <v>24</v>
      </c>
      <c r="V44" s="143">
        <v>20</v>
      </c>
      <c r="W44" s="143">
        <v>29</v>
      </c>
      <c r="X44" s="143">
        <v>18</v>
      </c>
      <c r="Y44" s="143">
        <v>21</v>
      </c>
      <c r="Z44" s="143">
        <v>29</v>
      </c>
      <c r="AA44" s="143">
        <v>21</v>
      </c>
      <c r="AB44" s="143">
        <v>20</v>
      </c>
      <c r="AC44" s="143">
        <v>18</v>
      </c>
      <c r="AD44" s="143">
        <v>17</v>
      </c>
      <c r="AE44" s="143">
        <v>15</v>
      </c>
      <c r="AF44" s="143">
        <v>25</v>
      </c>
      <c r="AG44" s="143">
        <v>11</v>
      </c>
      <c r="AH44" s="143">
        <v>21</v>
      </c>
      <c r="AI44" s="143">
        <v>30</v>
      </c>
      <c r="AJ44" s="143">
        <v>19</v>
      </c>
      <c r="AK44" s="143">
        <v>13</v>
      </c>
      <c r="AL44" s="143">
        <v>10</v>
      </c>
      <c r="AM44" s="143">
        <v>12</v>
      </c>
      <c r="AN44" s="143">
        <v>19</v>
      </c>
      <c r="AO44" s="143">
        <v>26</v>
      </c>
      <c r="AP44" s="143">
        <v>13</v>
      </c>
      <c r="AQ44" s="143">
        <v>16</v>
      </c>
      <c r="AR44" s="143">
        <v>27</v>
      </c>
      <c r="AS44" s="143">
        <v>29</v>
      </c>
      <c r="AT44" s="143">
        <v>24</v>
      </c>
      <c r="AU44" s="143">
        <v>29</v>
      </c>
      <c r="AV44" s="143">
        <v>22</v>
      </c>
      <c r="AW44" s="143">
        <v>8</v>
      </c>
      <c r="AX44" s="143">
        <v>11</v>
      </c>
      <c r="AY44" s="143">
        <v>17</v>
      </c>
      <c r="AZ44" s="143">
        <v>18</v>
      </c>
      <c r="BA44" s="143">
        <v>18</v>
      </c>
      <c r="BB44" s="143">
        <v>15</v>
      </c>
      <c r="BC44" s="143">
        <v>12</v>
      </c>
      <c r="BD44" s="143">
        <v>24</v>
      </c>
      <c r="BE44" s="143">
        <v>31</v>
      </c>
      <c r="BF44" s="143">
        <v>27</v>
      </c>
      <c r="BG44" s="143">
        <v>30</v>
      </c>
      <c r="BH44" s="143">
        <v>18</v>
      </c>
      <c r="BI44" s="143">
        <v>18</v>
      </c>
      <c r="BJ44" s="143">
        <v>20</v>
      </c>
      <c r="BK44" s="143">
        <v>17</v>
      </c>
      <c r="BL44" s="143">
        <v>22</v>
      </c>
      <c r="BM44" s="143">
        <v>21</v>
      </c>
      <c r="BN44" s="143">
        <v>15</v>
      </c>
      <c r="BO44" s="143">
        <v>20</v>
      </c>
      <c r="BP44" s="143">
        <v>28</v>
      </c>
      <c r="BQ44" s="143">
        <v>36</v>
      </c>
      <c r="BR44" s="143">
        <v>41</v>
      </c>
      <c r="BS44" s="143">
        <v>26</v>
      </c>
      <c r="BT44" s="143">
        <v>31</v>
      </c>
      <c r="BU44" s="143">
        <v>28</v>
      </c>
      <c r="BV44" s="143">
        <v>26</v>
      </c>
      <c r="BW44" s="143">
        <v>24</v>
      </c>
      <c r="BX44" s="143">
        <v>22</v>
      </c>
      <c r="BY44" s="143">
        <v>27</v>
      </c>
      <c r="BZ44" s="143">
        <v>11</v>
      </c>
      <c r="CA44" s="143">
        <v>22</v>
      </c>
      <c r="CB44" s="143">
        <v>37</v>
      </c>
      <c r="CC44" s="143">
        <v>40</v>
      </c>
      <c r="CD44" s="143">
        <v>40</v>
      </c>
      <c r="CE44" s="143">
        <v>38</v>
      </c>
      <c r="CF44" s="143">
        <v>27</v>
      </c>
      <c r="CG44" s="143">
        <v>16</v>
      </c>
      <c r="CH44" s="143">
        <v>17</v>
      </c>
      <c r="CI44" s="143">
        <v>24</v>
      </c>
      <c r="CJ44" s="143">
        <v>17</v>
      </c>
      <c r="CK44" s="143">
        <v>25</v>
      </c>
      <c r="CL44" s="143">
        <v>23</v>
      </c>
      <c r="CM44" s="143">
        <v>28</v>
      </c>
      <c r="CN44" s="143">
        <v>32</v>
      </c>
      <c r="CO44" s="143">
        <v>44</v>
      </c>
      <c r="CP44" s="143">
        <v>35</v>
      </c>
      <c r="CQ44" s="143">
        <v>34</v>
      </c>
      <c r="CR44" s="143">
        <v>12</v>
      </c>
      <c r="CS44" s="143">
        <v>22</v>
      </c>
      <c r="CT44" s="143">
        <v>22</v>
      </c>
      <c r="CU44" s="143">
        <v>20</v>
      </c>
      <c r="CV44" s="143">
        <v>19</v>
      </c>
      <c r="CW44" s="143">
        <v>29</v>
      </c>
      <c r="CX44" s="143">
        <v>16</v>
      </c>
      <c r="CY44" s="143">
        <v>26</v>
      </c>
      <c r="CZ44" s="143">
        <v>33</v>
      </c>
      <c r="DA44" s="143">
        <v>25</v>
      </c>
      <c r="DB44" s="143">
        <v>26</v>
      </c>
      <c r="DC44" s="143">
        <v>44</v>
      </c>
      <c r="DD44" s="143">
        <v>16</v>
      </c>
      <c r="DE44" s="143">
        <v>33</v>
      </c>
      <c r="DF44" s="143">
        <v>29</v>
      </c>
      <c r="DG44" s="143">
        <v>26</v>
      </c>
      <c r="DH44" s="143">
        <v>28</v>
      </c>
      <c r="DI44" s="143">
        <v>36</v>
      </c>
      <c r="DJ44" s="143">
        <v>27</v>
      </c>
      <c r="DK44" s="143">
        <v>24</v>
      </c>
      <c r="DL44" s="143">
        <v>32</v>
      </c>
      <c r="DM44" s="143">
        <v>37</v>
      </c>
      <c r="DN44" s="143">
        <v>37</v>
      </c>
      <c r="DO44" s="143">
        <v>53</v>
      </c>
      <c r="DP44" s="143">
        <v>33</v>
      </c>
      <c r="DQ44" s="143">
        <v>32</v>
      </c>
      <c r="DR44" s="143">
        <v>38</v>
      </c>
      <c r="DS44" s="143">
        <v>30</v>
      </c>
      <c r="DT44" s="143">
        <v>31</v>
      </c>
      <c r="DU44" s="143">
        <v>30</v>
      </c>
      <c r="DV44" s="143">
        <v>35</v>
      </c>
      <c r="DW44" s="143">
        <v>36</v>
      </c>
      <c r="DX44" s="143">
        <v>56</v>
      </c>
      <c r="DY44" s="143">
        <v>55</v>
      </c>
      <c r="DZ44" s="143">
        <v>61</v>
      </c>
      <c r="EA44" s="143">
        <v>64</v>
      </c>
      <c r="EB44" s="143">
        <v>44</v>
      </c>
      <c r="EC44" s="143">
        <v>43</v>
      </c>
      <c r="ED44" s="143">
        <v>29</v>
      </c>
      <c r="EE44" s="143">
        <v>32</v>
      </c>
      <c r="EF44" s="143">
        <v>35</v>
      </c>
      <c r="EG44" s="143">
        <v>41</v>
      </c>
      <c r="EH44" s="143">
        <v>32</v>
      </c>
      <c r="EI44" s="143">
        <v>36</v>
      </c>
      <c r="EJ44" s="143">
        <v>35</v>
      </c>
      <c r="EK44" s="143">
        <v>49</v>
      </c>
      <c r="EL44" s="143">
        <v>57</v>
      </c>
      <c r="EM44" s="143">
        <v>48</v>
      </c>
      <c r="EN44" s="143">
        <v>37</v>
      </c>
      <c r="EO44" s="143">
        <v>28</v>
      </c>
      <c r="EP44" s="143">
        <v>33</v>
      </c>
      <c r="EQ44" s="143">
        <v>33</v>
      </c>
      <c r="ER44" s="143">
        <v>46</v>
      </c>
      <c r="ES44" s="143">
        <v>59</v>
      </c>
      <c r="ET44" s="143">
        <v>26</v>
      </c>
      <c r="EU44" s="143">
        <v>57</v>
      </c>
      <c r="EV44" s="143">
        <v>69</v>
      </c>
      <c r="EW44" s="143">
        <v>50</v>
      </c>
      <c r="EX44" s="143">
        <v>33</v>
      </c>
      <c r="EY44" s="143">
        <v>63</v>
      </c>
      <c r="EZ44" s="143">
        <v>79</v>
      </c>
      <c r="FA44" s="143">
        <v>81</v>
      </c>
      <c r="FB44" s="143">
        <v>89</v>
      </c>
      <c r="FC44" s="143">
        <v>91</v>
      </c>
      <c r="FD44" s="143">
        <v>82</v>
      </c>
      <c r="FE44" s="143">
        <v>125</v>
      </c>
      <c r="FF44" s="143">
        <v>75</v>
      </c>
      <c r="FG44" s="143">
        <v>98</v>
      </c>
      <c r="FH44" s="143">
        <v>111</v>
      </c>
      <c r="FI44" s="143">
        <v>110</v>
      </c>
      <c r="FJ44" s="143">
        <v>123</v>
      </c>
      <c r="FK44" s="143">
        <v>95</v>
      </c>
      <c r="FL44" s="143">
        <v>96</v>
      </c>
      <c r="FM44" s="143">
        <v>78</v>
      </c>
      <c r="FN44" s="143">
        <v>98</v>
      </c>
      <c r="FO44" s="143">
        <v>77</v>
      </c>
      <c r="FP44" s="143">
        <v>100</v>
      </c>
      <c r="FQ44" s="143">
        <v>101</v>
      </c>
      <c r="FR44" s="143">
        <v>71</v>
      </c>
      <c r="FS44" s="143">
        <v>83</v>
      </c>
      <c r="FT44" s="143">
        <v>124</v>
      </c>
      <c r="FU44" s="143">
        <v>118</v>
      </c>
      <c r="FV44" s="143">
        <v>108</v>
      </c>
      <c r="FW44" s="143">
        <v>102</v>
      </c>
      <c r="FX44" s="143">
        <v>71</v>
      </c>
      <c r="FY44" s="143">
        <v>53</v>
      </c>
      <c r="FZ44" s="143">
        <v>69</v>
      </c>
      <c r="GA44" s="143">
        <v>73</v>
      </c>
      <c r="GB44" s="143">
        <v>56</v>
      </c>
      <c r="GC44" s="143">
        <v>38</v>
      </c>
      <c r="GD44" s="143">
        <v>40</v>
      </c>
      <c r="GE44" s="143">
        <v>71</v>
      </c>
      <c r="GF44" s="143">
        <v>101</v>
      </c>
      <c r="GG44" s="143">
        <v>69</v>
      </c>
      <c r="GH44" s="143">
        <v>114</v>
      </c>
      <c r="GI44" s="143">
        <v>95</v>
      </c>
      <c r="GJ44" s="143">
        <v>70</v>
      </c>
      <c r="GK44" s="143">
        <v>75</v>
      </c>
      <c r="GL44" s="143">
        <v>58</v>
      </c>
      <c r="GM44" s="143">
        <v>65</v>
      </c>
      <c r="GN44" s="143">
        <v>71</v>
      </c>
      <c r="GO44" s="143">
        <v>42</v>
      </c>
      <c r="GP44" s="143">
        <v>48</v>
      </c>
      <c r="GQ44" s="143">
        <v>71</v>
      </c>
      <c r="GR44" s="143">
        <v>70</v>
      </c>
      <c r="GS44" s="143">
        <f t="shared" si="34"/>
        <v>70.666666666666671</v>
      </c>
      <c r="GT44" s="152"/>
      <c r="GU44" s="12" t="s">
        <v>33</v>
      </c>
      <c r="GV44" s="145" t="s">
        <v>30</v>
      </c>
      <c r="GW44" s="145">
        <f t="shared" si="35"/>
        <v>0.19047619047619047</v>
      </c>
      <c r="GX44" s="145">
        <f t="shared" si="35"/>
        <v>0.08</v>
      </c>
      <c r="GY44" s="145">
        <f t="shared" si="35"/>
        <v>-3.7037037037037035E-2</v>
      </c>
      <c r="GZ44" s="145">
        <f t="shared" si="35"/>
        <v>-0.19230769230769232</v>
      </c>
      <c r="HA44" s="145">
        <f t="shared" si="35"/>
        <v>-9.5238095238095233E-2</v>
      </c>
      <c r="HB44" s="145">
        <f t="shared" si="35"/>
        <v>0.26315789473684209</v>
      </c>
      <c r="HC44" s="145">
        <f t="shared" si="35"/>
        <v>0</v>
      </c>
      <c r="HD44" s="145">
        <f t="shared" si="35"/>
        <v>0.125</v>
      </c>
      <c r="HE44" s="145">
        <f t="shared" si="35"/>
        <v>0.14814814814814814</v>
      </c>
      <c r="HF44" s="145">
        <f t="shared" si="35"/>
        <v>-0.22580645161290322</v>
      </c>
      <c r="HG44" s="145">
        <f t="shared" si="35"/>
        <v>-0.25</v>
      </c>
      <c r="HH44" s="145">
        <f t="shared" si="35"/>
        <v>0</v>
      </c>
      <c r="HI44" s="145">
        <f t="shared" si="35"/>
        <v>-0.22222222222222221</v>
      </c>
      <c r="HJ44" s="145">
        <f t="shared" si="35"/>
        <v>-0.8571428571428571</v>
      </c>
      <c r="HK44" s="145">
        <f t="shared" si="35"/>
        <v>7</v>
      </c>
      <c r="HL44" s="145">
        <f t="shared" si="35"/>
        <v>-0.5</v>
      </c>
      <c r="HM44" s="145">
        <f t="shared" si="36"/>
        <v>0.875</v>
      </c>
      <c r="HN44" s="145">
        <f t="shared" si="36"/>
        <v>-0.2</v>
      </c>
      <c r="HO44" s="145">
        <f t="shared" si="36"/>
        <v>1</v>
      </c>
      <c r="HP44" s="145">
        <f t="shared" si="36"/>
        <v>-0.16666666666666666</v>
      </c>
      <c r="HQ44" s="145">
        <f t="shared" si="36"/>
        <v>0.45</v>
      </c>
      <c r="HR44" s="145">
        <f t="shared" si="36"/>
        <v>-0.37931034482758619</v>
      </c>
      <c r="HS44" s="145">
        <f t="shared" si="36"/>
        <v>0.16666666666666666</v>
      </c>
      <c r="HT44" s="145">
        <f t="shared" si="36"/>
        <v>0.38095238095238093</v>
      </c>
      <c r="HU44" s="145">
        <f t="shared" si="36"/>
        <v>-0.27586206896551724</v>
      </c>
      <c r="HV44" s="145">
        <f t="shared" si="36"/>
        <v>-4.7619047619047616E-2</v>
      </c>
      <c r="HW44" s="145">
        <f t="shared" si="36"/>
        <v>-0.1</v>
      </c>
      <c r="HX44" s="145">
        <f t="shared" si="36"/>
        <v>-5.5555555555555552E-2</v>
      </c>
      <c r="HY44" s="145">
        <f t="shared" si="36"/>
        <v>-0.11764705882352941</v>
      </c>
      <c r="HZ44" s="145">
        <f t="shared" si="36"/>
        <v>0.66666666666666663</v>
      </c>
      <c r="IA44" s="145">
        <f t="shared" si="36"/>
        <v>-0.56000000000000005</v>
      </c>
      <c r="IB44" s="145">
        <f t="shared" si="36"/>
        <v>0.90909090909090906</v>
      </c>
      <c r="IC44" s="145">
        <f t="shared" si="37"/>
        <v>0.42857142857142855</v>
      </c>
      <c r="ID44" s="145">
        <f t="shared" si="37"/>
        <v>-0.36666666666666664</v>
      </c>
      <c r="IE44" s="145">
        <f t="shared" si="37"/>
        <v>-0.31578947368421051</v>
      </c>
      <c r="IF44" s="145">
        <f t="shared" si="37"/>
        <v>-0.23076923076923078</v>
      </c>
      <c r="IG44" s="145">
        <f t="shared" si="37"/>
        <v>0.2</v>
      </c>
      <c r="IH44" s="145">
        <f t="shared" si="37"/>
        <v>0.58333333333333337</v>
      </c>
      <c r="II44" s="145">
        <f t="shared" si="37"/>
        <v>0.36842105263157893</v>
      </c>
      <c r="IJ44" s="145">
        <f t="shared" si="37"/>
        <v>-0.5</v>
      </c>
      <c r="IK44" s="145">
        <f t="shared" si="37"/>
        <v>0.23076923076923078</v>
      </c>
      <c r="IL44" s="145">
        <f t="shared" si="37"/>
        <v>0.6875</v>
      </c>
      <c r="IM44" s="145">
        <f t="shared" si="37"/>
        <v>7.407407407407407E-2</v>
      </c>
      <c r="IN44" s="145">
        <f t="shared" si="37"/>
        <v>-0.17241379310344829</v>
      </c>
      <c r="IO44" s="145">
        <f t="shared" si="37"/>
        <v>0.20833333333333334</v>
      </c>
      <c r="IP44" s="145">
        <f t="shared" si="37"/>
        <v>-0.2413793103448276</v>
      </c>
      <c r="IQ44" s="145">
        <f t="shared" si="37"/>
        <v>-0.63636363636363635</v>
      </c>
      <c r="IR44" s="145">
        <f t="shared" si="37"/>
        <v>0.375</v>
      </c>
      <c r="IS44" s="145">
        <f t="shared" si="38"/>
        <v>0.54545454545454541</v>
      </c>
      <c r="IT44" s="145">
        <f t="shared" si="38"/>
        <v>5.8823529411764705E-2</v>
      </c>
      <c r="IU44" s="145">
        <f t="shared" si="38"/>
        <v>0</v>
      </c>
      <c r="IV44" s="145">
        <f t="shared" si="38"/>
        <v>-0.16666666666666666</v>
      </c>
      <c r="IW44" s="145">
        <f t="shared" si="38"/>
        <v>-0.2</v>
      </c>
      <c r="IX44" s="145">
        <f t="shared" si="38"/>
        <v>1</v>
      </c>
      <c r="IY44" s="145">
        <f t="shared" si="38"/>
        <v>0.29166666666666669</v>
      </c>
      <c r="IZ44" s="145">
        <f t="shared" si="38"/>
        <v>-0.12903225806451613</v>
      </c>
      <c r="JA44" s="145">
        <f t="shared" si="38"/>
        <v>0.1111111111111111</v>
      </c>
      <c r="JB44" s="145">
        <f t="shared" si="38"/>
        <v>-0.4</v>
      </c>
      <c r="JC44" s="145">
        <f t="shared" si="38"/>
        <v>0</v>
      </c>
      <c r="JD44" s="145">
        <f t="shared" si="38"/>
        <v>0.1111111111111111</v>
      </c>
      <c r="JE44" s="145">
        <f t="shared" si="38"/>
        <v>-0.15</v>
      </c>
      <c r="JF44" s="145">
        <f t="shared" si="38"/>
        <v>0.29411764705882354</v>
      </c>
      <c r="JG44" s="145">
        <f t="shared" si="38"/>
        <v>-4.5454545454545456E-2</v>
      </c>
      <c r="JH44" s="145">
        <f t="shared" si="38"/>
        <v>-0.2857142857142857</v>
      </c>
      <c r="JI44" s="145">
        <f t="shared" si="39"/>
        <v>0.33333333333333331</v>
      </c>
      <c r="JJ44" s="145">
        <f t="shared" si="39"/>
        <v>0.4</v>
      </c>
      <c r="JK44" s="145">
        <f t="shared" si="39"/>
        <v>0.2857142857142857</v>
      </c>
      <c r="JL44" s="145">
        <f t="shared" si="39"/>
        <v>0.1388888888888889</v>
      </c>
      <c r="JM44" s="145">
        <f t="shared" si="39"/>
        <v>-0.36585365853658536</v>
      </c>
      <c r="JN44" s="145">
        <f t="shared" si="39"/>
        <v>0.19230769230769232</v>
      </c>
      <c r="JO44" s="145">
        <f t="shared" si="39"/>
        <v>-9.6774193548387094E-2</v>
      </c>
      <c r="JP44" s="145">
        <f t="shared" si="39"/>
        <v>-7.1428571428571425E-2</v>
      </c>
      <c r="JQ44" s="145">
        <f t="shared" si="39"/>
        <v>-7.6923076923076927E-2</v>
      </c>
      <c r="JR44" s="145">
        <f t="shared" si="39"/>
        <v>-8.3333333333333329E-2</v>
      </c>
      <c r="JS44" s="145">
        <f t="shared" si="39"/>
        <v>0.22727272727272727</v>
      </c>
      <c r="JT44" s="145">
        <f t="shared" si="39"/>
        <v>-0.59259259259259256</v>
      </c>
      <c r="JU44" s="145">
        <f t="shared" si="39"/>
        <v>1</v>
      </c>
      <c r="JV44" s="145">
        <f t="shared" si="39"/>
        <v>0.68181818181818177</v>
      </c>
      <c r="JW44" s="145">
        <f t="shared" si="39"/>
        <v>8.1081081081081086E-2</v>
      </c>
      <c r="JX44" s="145">
        <f t="shared" si="39"/>
        <v>0</v>
      </c>
      <c r="JY44" s="145">
        <f t="shared" si="40"/>
        <v>-0.05</v>
      </c>
      <c r="JZ44" s="145">
        <f t="shared" si="40"/>
        <v>-0.28947368421052633</v>
      </c>
      <c r="KA44" s="145">
        <f t="shared" si="40"/>
        <v>-0.40740740740740738</v>
      </c>
      <c r="KB44" s="145">
        <f t="shared" si="40"/>
        <v>6.25E-2</v>
      </c>
      <c r="KC44" s="145">
        <f t="shared" si="40"/>
        <v>0.41176470588235292</v>
      </c>
      <c r="KD44" s="145">
        <f t="shared" si="40"/>
        <v>-0.29166666666666669</v>
      </c>
      <c r="KE44" s="145">
        <f t="shared" si="40"/>
        <v>0.47058823529411764</v>
      </c>
      <c r="KF44" s="145">
        <f t="shared" si="40"/>
        <v>-0.08</v>
      </c>
      <c r="KG44" s="145">
        <f t="shared" si="40"/>
        <v>0.21739130434782608</v>
      </c>
      <c r="KH44" s="145">
        <f t="shared" si="40"/>
        <v>0.14285714285714285</v>
      </c>
      <c r="KI44" s="145">
        <f t="shared" si="40"/>
        <v>0.375</v>
      </c>
      <c r="KJ44" s="145">
        <f t="shared" si="40"/>
        <v>-0.20454545454545456</v>
      </c>
      <c r="KK44" s="145">
        <f t="shared" si="40"/>
        <v>-2.8571428571428571E-2</v>
      </c>
      <c r="KL44" s="145">
        <f t="shared" si="40"/>
        <v>-0.6470588235294118</v>
      </c>
      <c r="KM44" s="145">
        <f t="shared" si="40"/>
        <v>0.83333333333333337</v>
      </c>
      <c r="KN44" s="145">
        <f t="shared" si="40"/>
        <v>0</v>
      </c>
      <c r="KO44" s="145">
        <f t="shared" si="41"/>
        <v>-9.0909090909090912E-2</v>
      </c>
      <c r="KP44" s="145">
        <f t="shared" si="41"/>
        <v>-0.05</v>
      </c>
      <c r="KQ44" s="145">
        <f t="shared" si="41"/>
        <v>0.52631578947368418</v>
      </c>
      <c r="KR44" s="145">
        <f t="shared" si="41"/>
        <v>-0.44827586206896552</v>
      </c>
      <c r="KS44" s="145">
        <f t="shared" si="41"/>
        <v>0.625</v>
      </c>
      <c r="KT44" s="145">
        <f t="shared" si="41"/>
        <v>0.26923076923076922</v>
      </c>
      <c r="KU44" s="145">
        <f t="shared" si="41"/>
        <v>-0.24242424242424243</v>
      </c>
      <c r="KV44" s="145">
        <f t="shared" si="41"/>
        <v>0.04</v>
      </c>
      <c r="KW44" s="145">
        <f t="shared" si="41"/>
        <v>0.69230769230769229</v>
      </c>
      <c r="KX44" s="145">
        <f t="shared" si="41"/>
        <v>-0.63636363636363635</v>
      </c>
      <c r="KY44" s="145">
        <f t="shared" si="41"/>
        <v>1.0625</v>
      </c>
      <c r="KZ44" s="145">
        <f t="shared" si="41"/>
        <v>-0.12121212121212122</v>
      </c>
      <c r="LA44" s="145">
        <f t="shared" si="41"/>
        <v>-0.10344827586206896</v>
      </c>
      <c r="LB44" s="145">
        <f t="shared" si="41"/>
        <v>7.6923076923076927E-2</v>
      </c>
      <c r="LC44" s="145">
        <f t="shared" si="41"/>
        <v>0.2857142857142857</v>
      </c>
      <c r="LD44" s="145">
        <f t="shared" si="41"/>
        <v>-0.25</v>
      </c>
      <c r="LE44" s="145">
        <f t="shared" si="29"/>
        <v>-0.1111111111111111</v>
      </c>
      <c r="LF44" s="145">
        <f t="shared" si="29"/>
        <v>0.33333333333333331</v>
      </c>
      <c r="LG44" s="145">
        <f t="shared" si="29"/>
        <v>0.15625</v>
      </c>
      <c r="LH44" s="145">
        <f t="shared" si="29"/>
        <v>0</v>
      </c>
      <c r="LI44" s="145">
        <f t="shared" si="29"/>
        <v>0.43243243243243246</v>
      </c>
      <c r="LJ44" s="145">
        <f t="shared" si="29"/>
        <v>-0.37735849056603776</v>
      </c>
      <c r="LK44" s="145">
        <f t="shared" si="29"/>
        <v>-3.0303030303030304E-2</v>
      </c>
      <c r="LL44" s="145">
        <f t="shared" si="29"/>
        <v>0.1875</v>
      </c>
      <c r="LM44" s="145">
        <f t="shared" si="29"/>
        <v>-0.21052631578947367</v>
      </c>
      <c r="LN44" s="145">
        <f t="shared" si="29"/>
        <v>3.3333333333333333E-2</v>
      </c>
      <c r="LO44" s="145">
        <f t="shared" si="29"/>
        <v>-3.2258064516129031E-2</v>
      </c>
      <c r="LP44" s="145">
        <f t="shared" si="29"/>
        <v>0.16666666666666666</v>
      </c>
      <c r="LQ44" s="145">
        <f t="shared" si="29"/>
        <v>2.8571428571428571E-2</v>
      </c>
      <c r="LR44" s="145">
        <f t="shared" si="29"/>
        <v>0.55555555555555558</v>
      </c>
      <c r="LS44" s="145">
        <f t="shared" si="29"/>
        <v>-1.7857142857142856E-2</v>
      </c>
      <c r="LT44" s="145">
        <f t="shared" si="29"/>
        <v>0.10909090909090909</v>
      </c>
      <c r="LU44" s="145">
        <f t="shared" si="30"/>
        <v>4.9180327868852458E-2</v>
      </c>
      <c r="LV44" s="145">
        <f t="shared" si="30"/>
        <v>-0.3125</v>
      </c>
      <c r="LW44" s="145">
        <f t="shared" si="30"/>
        <v>-2.2727272727272728E-2</v>
      </c>
      <c r="LX44" s="145">
        <f t="shared" si="30"/>
        <v>-0.32558139534883723</v>
      </c>
      <c r="LY44" s="145">
        <f t="shared" si="30"/>
        <v>0.10344827586206896</v>
      </c>
      <c r="LZ44" s="145">
        <f t="shared" si="30"/>
        <v>9.375E-2</v>
      </c>
      <c r="MA44" s="145">
        <f t="shared" si="30"/>
        <v>0.17142857142857143</v>
      </c>
      <c r="MB44" s="145">
        <f t="shared" si="30"/>
        <v>-0.21951219512195122</v>
      </c>
      <c r="MC44" s="145">
        <f t="shared" si="30"/>
        <v>0.125</v>
      </c>
      <c r="MD44" s="145">
        <f t="shared" si="30"/>
        <v>-2.7777777777777776E-2</v>
      </c>
      <c r="ME44" s="145">
        <f t="shared" si="30"/>
        <v>0.4</v>
      </c>
      <c r="MF44" s="145">
        <f t="shared" si="30"/>
        <v>0.16326530612244897</v>
      </c>
      <c r="MG44" s="145">
        <f t="shared" si="30"/>
        <v>-0.15789473684210525</v>
      </c>
      <c r="MH44" s="145">
        <f t="shared" si="30"/>
        <v>-0.22916666666666666</v>
      </c>
      <c r="MI44" s="145">
        <f t="shared" si="30"/>
        <v>-0.24324324324324326</v>
      </c>
      <c r="MJ44" s="145">
        <f t="shared" si="30"/>
        <v>0.17857142857142858</v>
      </c>
      <c r="MK44" s="145">
        <f t="shared" si="30"/>
        <v>0</v>
      </c>
      <c r="ML44" s="145">
        <f t="shared" si="30"/>
        <v>0.39393939393939392</v>
      </c>
      <c r="MM44" s="145">
        <f t="shared" si="30"/>
        <v>0.28260869565217389</v>
      </c>
      <c r="MN44" s="145">
        <f t="shared" si="30"/>
        <v>-0.55932203389830504</v>
      </c>
      <c r="MO44" s="145">
        <f t="shared" si="30"/>
        <v>1.1923076923076923</v>
      </c>
      <c r="MP44" s="145">
        <f t="shared" si="30"/>
        <v>0.21052631578947367</v>
      </c>
      <c r="MQ44" s="145">
        <f t="shared" si="30"/>
        <v>-0.27536231884057971</v>
      </c>
      <c r="MR44" s="145">
        <f t="shared" si="30"/>
        <v>-0.34</v>
      </c>
      <c r="MS44" s="145">
        <f>(EZ44-EY44)/EY44</f>
        <v>0.25396825396825395</v>
      </c>
      <c r="MT44" s="145">
        <f t="shared" si="31"/>
        <v>0.20253164556962025</v>
      </c>
      <c r="MU44" s="145">
        <f t="shared" si="31"/>
        <v>2.4691358024691357E-2</v>
      </c>
      <c r="MV44" s="145">
        <f t="shared" si="31"/>
        <v>8.98876404494382E-2</v>
      </c>
      <c r="MW44" s="145">
        <f t="shared" si="31"/>
        <v>2.197802197802198E-2</v>
      </c>
      <c r="MX44" s="145">
        <f t="shared" si="31"/>
        <v>-0.10975609756097561</v>
      </c>
      <c r="MY44" s="145">
        <f t="shared" si="31"/>
        <v>0.34399999999999997</v>
      </c>
      <c r="MZ44" s="145">
        <f t="shared" si="31"/>
        <v>-0.66666666666666663</v>
      </c>
      <c r="NA44" s="145">
        <f t="shared" si="31"/>
        <v>0.23469387755102042</v>
      </c>
      <c r="NB44" s="145">
        <f t="shared" si="31"/>
        <v>0.11711711711711711</v>
      </c>
      <c r="NC44" s="145">
        <f t="shared" si="31"/>
        <v>-9.0909090909090905E-3</v>
      </c>
      <c r="ND44" s="145">
        <f t="shared" si="31"/>
        <v>0.10569105691056911</v>
      </c>
      <c r="NE44" s="145">
        <f t="shared" si="31"/>
        <v>-0.29473684210526313</v>
      </c>
      <c r="NF44" s="145">
        <f t="shared" si="31"/>
        <v>1.0416666666666666E-2</v>
      </c>
      <c r="NG44" s="145">
        <f t="shared" si="31"/>
        <v>-0.23076923076923078</v>
      </c>
      <c r="NH44" s="145">
        <f t="shared" si="31"/>
        <v>0.20408163265306123</v>
      </c>
      <c r="NI44" s="145">
        <f t="shared" si="31"/>
        <v>-0.27272727272727271</v>
      </c>
      <c r="NJ44" s="145">
        <f t="shared" si="32"/>
        <v>0.23</v>
      </c>
      <c r="NK44" s="145">
        <f t="shared" si="32"/>
        <v>9.9009900990099011E-3</v>
      </c>
      <c r="NL44" s="145">
        <f t="shared" si="32"/>
        <v>-0.42253521126760563</v>
      </c>
      <c r="NM44" s="145">
        <f t="shared" si="32"/>
        <v>0.14457831325301204</v>
      </c>
      <c r="NN44" s="145">
        <f t="shared" si="32"/>
        <v>0.33064516129032256</v>
      </c>
      <c r="NO44" s="145">
        <f t="shared" si="32"/>
        <v>-5.0847457627118647E-2</v>
      </c>
      <c r="NP44" s="145">
        <f t="shared" si="32"/>
        <v>-9.2592592592592587E-2</v>
      </c>
      <c r="NQ44" s="145">
        <f t="shared" si="32"/>
        <v>-5.8823529411764705E-2</v>
      </c>
      <c r="NR44" s="145">
        <f t="shared" si="32"/>
        <v>-0.43661971830985913</v>
      </c>
      <c r="NS44" s="145">
        <f t="shared" si="32"/>
        <v>-0.33962264150943394</v>
      </c>
      <c r="NT44" s="145">
        <f t="shared" si="32"/>
        <v>0.2318840579710145</v>
      </c>
      <c r="NU44" s="145">
        <f t="shared" si="32"/>
        <v>5.4794520547945202E-2</v>
      </c>
      <c r="NV44" s="145">
        <f t="shared" si="32"/>
        <v>-0.30357142857142855</v>
      </c>
      <c r="NW44" s="145">
        <f t="shared" si="32"/>
        <v>-0.47368421052631576</v>
      </c>
      <c r="NX44" s="145">
        <f t="shared" si="33"/>
        <v>0.05</v>
      </c>
      <c r="NY44" s="145">
        <f t="shared" si="33"/>
        <v>0.43661971830985913</v>
      </c>
      <c r="NZ44" s="145">
        <f t="shared" si="33"/>
        <v>0.29702970297029702</v>
      </c>
      <c r="OA44" s="145">
        <f t="shared" si="33"/>
        <v>-0.46376811594202899</v>
      </c>
      <c r="OB44" s="145">
        <f t="shared" si="33"/>
        <v>0.39473684210526316</v>
      </c>
      <c r="OC44" s="145">
        <f t="shared" si="33"/>
        <v>-0.2</v>
      </c>
      <c r="OD44" s="145">
        <f t="shared" si="33"/>
        <v>-0.35714285714285715</v>
      </c>
      <c r="OE44" s="145">
        <f t="shared" si="33"/>
        <v>6.6666666666666666E-2</v>
      </c>
      <c r="OF44" s="145">
        <f t="shared" si="33"/>
        <v>-0.29310344827586204</v>
      </c>
      <c r="OG44" s="145">
        <f t="shared" si="33"/>
        <v>0.1076923076923077</v>
      </c>
      <c r="OH44" s="145">
        <f t="shared" si="33"/>
        <v>8.4507042253521125E-2</v>
      </c>
      <c r="OI44" s="145">
        <f t="shared" si="33"/>
        <v>-0.69047619047619047</v>
      </c>
      <c r="OJ44" s="145">
        <f t="shared" si="33"/>
        <v>0.125</v>
      </c>
      <c r="OK44" s="145">
        <f t="shared" si="33"/>
        <v>0.323943661971831</v>
      </c>
      <c r="OL44" s="145">
        <f t="shared" si="33"/>
        <v>-1.4285714285714285E-2</v>
      </c>
    </row>
    <row r="45" spans="1:402" s="145" customFormat="1" ht="19.5" customHeight="1" x14ac:dyDescent="0.35">
      <c r="A45" s="12" t="s">
        <v>34</v>
      </c>
      <c r="B45" s="156">
        <v>21</v>
      </c>
      <c r="C45" s="156">
        <v>33</v>
      </c>
      <c r="D45" s="156">
        <v>30</v>
      </c>
      <c r="E45" s="156">
        <v>52</v>
      </c>
      <c r="F45" s="156">
        <f>'[1]Jan 08'!C19</f>
        <v>26</v>
      </c>
      <c r="G45" s="143">
        <f>'[1]Feb 08'!C19</f>
        <v>12</v>
      </c>
      <c r="H45" s="143">
        <f>'[1]Mar 08'!C19</f>
        <v>28</v>
      </c>
      <c r="I45" s="143">
        <v>32</v>
      </c>
      <c r="J45" s="143">
        <f>'[1]May 08'!C19</f>
        <v>22</v>
      </c>
      <c r="K45" s="143">
        <f>'[1]Jun 08'!C19</f>
        <v>45</v>
      </c>
      <c r="L45" s="143">
        <f>'[1]Jul 08'!C19</f>
        <v>20</v>
      </c>
      <c r="M45" s="143">
        <v>27</v>
      </c>
      <c r="N45" s="143">
        <v>33</v>
      </c>
      <c r="O45" s="143">
        <v>21</v>
      </c>
      <c r="P45" s="143">
        <v>23</v>
      </c>
      <c r="Q45" s="143">
        <v>48</v>
      </c>
      <c r="R45" s="143">
        <v>23</v>
      </c>
      <c r="S45" s="143">
        <v>15</v>
      </c>
      <c r="T45" s="143">
        <v>30</v>
      </c>
      <c r="U45" s="143">
        <v>27</v>
      </c>
      <c r="V45" s="143">
        <v>30</v>
      </c>
      <c r="W45" s="143">
        <v>34</v>
      </c>
      <c r="X45" s="143">
        <v>23</v>
      </c>
      <c r="Y45" s="143">
        <v>9</v>
      </c>
      <c r="Z45" s="143">
        <v>14</v>
      </c>
      <c r="AA45" s="143">
        <v>12</v>
      </c>
      <c r="AB45" s="143">
        <v>7</v>
      </c>
      <c r="AC45" s="143">
        <v>25</v>
      </c>
      <c r="AD45" s="143">
        <v>7</v>
      </c>
      <c r="AE45" s="143">
        <v>12</v>
      </c>
      <c r="AF45" s="143">
        <v>5</v>
      </c>
      <c r="AG45" s="143">
        <v>5</v>
      </c>
      <c r="AH45" s="143">
        <v>18</v>
      </c>
      <c r="AI45" s="143">
        <v>24</v>
      </c>
      <c r="AJ45" s="143">
        <v>12</v>
      </c>
      <c r="AK45" s="143">
        <v>11</v>
      </c>
      <c r="AL45" s="143">
        <v>15</v>
      </c>
      <c r="AM45" s="143">
        <v>12</v>
      </c>
      <c r="AN45" s="143">
        <v>3</v>
      </c>
      <c r="AO45" s="143">
        <v>6</v>
      </c>
      <c r="AP45" s="143">
        <v>8</v>
      </c>
      <c r="AQ45" s="143">
        <v>2</v>
      </c>
      <c r="AR45" s="143">
        <v>10</v>
      </c>
      <c r="AS45" s="143">
        <v>5</v>
      </c>
      <c r="AT45" s="143">
        <v>12</v>
      </c>
      <c r="AU45" s="143">
        <v>20</v>
      </c>
      <c r="AV45" s="143">
        <v>7</v>
      </c>
      <c r="AW45" s="143">
        <v>6</v>
      </c>
      <c r="AX45" s="143">
        <v>2</v>
      </c>
      <c r="AY45" s="143">
        <v>9</v>
      </c>
      <c r="AZ45" s="143">
        <v>3</v>
      </c>
      <c r="BA45" s="143">
        <v>11</v>
      </c>
      <c r="BB45" s="143">
        <v>3</v>
      </c>
      <c r="BC45" s="143">
        <v>6</v>
      </c>
      <c r="BD45" s="143">
        <v>11</v>
      </c>
      <c r="BE45" s="143">
        <v>6</v>
      </c>
      <c r="BF45" s="143">
        <v>14</v>
      </c>
      <c r="BG45" s="143">
        <v>7</v>
      </c>
      <c r="BH45" s="143">
        <v>11</v>
      </c>
      <c r="BI45" s="143">
        <v>4</v>
      </c>
      <c r="BJ45" s="143">
        <v>4</v>
      </c>
      <c r="BK45" s="143">
        <v>3</v>
      </c>
      <c r="BL45" s="143">
        <v>3</v>
      </c>
      <c r="BM45" s="143">
        <v>7</v>
      </c>
      <c r="BN45" s="143">
        <v>2</v>
      </c>
      <c r="BO45" s="143">
        <v>0</v>
      </c>
      <c r="BP45" s="143">
        <v>2</v>
      </c>
      <c r="BQ45" s="143">
        <v>4</v>
      </c>
      <c r="BR45" s="143">
        <v>13</v>
      </c>
      <c r="BS45" s="143">
        <v>9</v>
      </c>
      <c r="BT45" s="143">
        <v>3</v>
      </c>
      <c r="BU45" s="143">
        <v>3</v>
      </c>
      <c r="BV45" s="143">
        <v>6</v>
      </c>
      <c r="BW45" s="143">
        <v>3</v>
      </c>
      <c r="BX45" s="143">
        <v>2</v>
      </c>
      <c r="BY45" s="143">
        <v>5</v>
      </c>
      <c r="BZ45" s="143">
        <v>4</v>
      </c>
      <c r="CA45" s="143">
        <v>6</v>
      </c>
      <c r="CB45" s="143">
        <v>6</v>
      </c>
      <c r="CC45" s="143">
        <v>7</v>
      </c>
      <c r="CD45" s="143">
        <v>11</v>
      </c>
      <c r="CE45" s="143">
        <v>14</v>
      </c>
      <c r="CF45" s="143">
        <v>7</v>
      </c>
      <c r="CG45" s="143">
        <v>3</v>
      </c>
      <c r="CH45" s="143">
        <v>10</v>
      </c>
      <c r="CI45" s="143">
        <v>10</v>
      </c>
      <c r="CJ45" s="143">
        <v>7</v>
      </c>
      <c r="CK45" s="143">
        <v>15</v>
      </c>
      <c r="CL45" s="143">
        <v>8</v>
      </c>
      <c r="CM45" s="143">
        <v>11</v>
      </c>
      <c r="CN45" s="143">
        <v>6</v>
      </c>
      <c r="CO45" s="143">
        <v>5</v>
      </c>
      <c r="CP45" s="143">
        <v>15</v>
      </c>
      <c r="CQ45" s="143">
        <v>22</v>
      </c>
      <c r="CR45" s="143">
        <v>6</v>
      </c>
      <c r="CS45" s="143">
        <v>10</v>
      </c>
      <c r="CT45" s="143">
        <v>5</v>
      </c>
      <c r="CU45" s="143">
        <v>7</v>
      </c>
      <c r="CV45" s="143">
        <v>1</v>
      </c>
      <c r="CW45" s="143">
        <v>12</v>
      </c>
      <c r="CX45" s="143">
        <v>3</v>
      </c>
      <c r="CY45" s="143">
        <v>6</v>
      </c>
      <c r="CZ45" s="143">
        <v>6</v>
      </c>
      <c r="DA45" s="143">
        <v>8</v>
      </c>
      <c r="DB45" s="143">
        <v>13</v>
      </c>
      <c r="DC45" s="143">
        <v>17</v>
      </c>
      <c r="DD45" s="143">
        <v>9</v>
      </c>
      <c r="DE45" s="143">
        <v>7</v>
      </c>
      <c r="DF45" s="143">
        <v>8</v>
      </c>
      <c r="DG45" s="143">
        <v>8</v>
      </c>
      <c r="DH45" s="143">
        <v>7</v>
      </c>
      <c r="DI45" s="143">
        <v>15</v>
      </c>
      <c r="DJ45" s="143">
        <v>10</v>
      </c>
      <c r="DK45" s="143">
        <v>6</v>
      </c>
      <c r="DL45" s="143">
        <v>9</v>
      </c>
      <c r="DM45" s="143">
        <v>12</v>
      </c>
      <c r="DN45" s="143">
        <v>20</v>
      </c>
      <c r="DO45" s="143">
        <v>20</v>
      </c>
      <c r="DP45" s="143">
        <v>14</v>
      </c>
      <c r="DQ45" s="143">
        <v>6</v>
      </c>
      <c r="DR45" s="143">
        <v>10</v>
      </c>
      <c r="DS45" s="143">
        <v>3</v>
      </c>
      <c r="DT45" s="143">
        <v>4</v>
      </c>
      <c r="DU45" s="143">
        <v>20</v>
      </c>
      <c r="DV45" s="143">
        <v>5</v>
      </c>
      <c r="DW45" s="143">
        <v>7</v>
      </c>
      <c r="DX45" s="143">
        <v>8</v>
      </c>
      <c r="DY45" s="143">
        <v>11</v>
      </c>
      <c r="DZ45" s="143">
        <v>10</v>
      </c>
      <c r="EA45" s="143">
        <v>16</v>
      </c>
      <c r="EB45" s="143">
        <v>8</v>
      </c>
      <c r="EC45" s="143">
        <v>5</v>
      </c>
      <c r="ED45" s="143">
        <v>5</v>
      </c>
      <c r="EE45" s="143">
        <v>4</v>
      </c>
      <c r="EF45" s="143">
        <v>4</v>
      </c>
      <c r="EG45" s="143">
        <v>10</v>
      </c>
      <c r="EH45" s="143">
        <v>3</v>
      </c>
      <c r="EI45" s="143">
        <v>3</v>
      </c>
      <c r="EJ45" s="143">
        <v>5</v>
      </c>
      <c r="EK45" s="143">
        <v>12</v>
      </c>
      <c r="EL45" s="143">
        <v>10</v>
      </c>
      <c r="EM45" s="143">
        <v>10</v>
      </c>
      <c r="EN45" s="143">
        <v>11</v>
      </c>
      <c r="EO45" s="143">
        <v>4</v>
      </c>
      <c r="EP45" s="143">
        <v>2</v>
      </c>
      <c r="EQ45" s="143">
        <v>5</v>
      </c>
      <c r="ER45" s="143">
        <v>4</v>
      </c>
      <c r="ES45" s="143">
        <v>7</v>
      </c>
      <c r="ET45" s="143">
        <v>8</v>
      </c>
      <c r="EU45" s="143">
        <v>3</v>
      </c>
      <c r="EV45" s="143">
        <v>4</v>
      </c>
      <c r="EW45" s="143">
        <v>4</v>
      </c>
      <c r="EX45" s="143">
        <v>9</v>
      </c>
      <c r="EY45" s="143">
        <v>8</v>
      </c>
      <c r="EZ45" s="143">
        <v>4</v>
      </c>
      <c r="FA45" s="143">
        <v>6</v>
      </c>
      <c r="FB45" s="143">
        <v>3</v>
      </c>
      <c r="FC45" s="143">
        <v>1</v>
      </c>
      <c r="FD45" s="143">
        <v>0</v>
      </c>
      <c r="FE45" s="143">
        <v>3</v>
      </c>
      <c r="FF45" s="143">
        <v>1</v>
      </c>
      <c r="FG45" s="143">
        <v>3</v>
      </c>
      <c r="FH45" s="143">
        <v>2</v>
      </c>
      <c r="FI45" s="143">
        <v>2</v>
      </c>
      <c r="FJ45" s="143">
        <v>3</v>
      </c>
      <c r="FK45" s="143">
        <v>2</v>
      </c>
      <c r="FL45" s="143">
        <v>1</v>
      </c>
      <c r="FM45" s="143">
        <v>3</v>
      </c>
      <c r="FN45" s="143">
        <v>3</v>
      </c>
      <c r="FO45" s="143">
        <v>3</v>
      </c>
      <c r="FP45" s="143">
        <v>2</v>
      </c>
      <c r="FQ45" s="143">
        <v>5</v>
      </c>
      <c r="FR45" s="143">
        <v>1</v>
      </c>
      <c r="FS45" s="143">
        <v>0</v>
      </c>
      <c r="FT45" s="143">
        <v>1</v>
      </c>
      <c r="FU45" s="143">
        <v>3</v>
      </c>
      <c r="FV45" s="143">
        <v>1</v>
      </c>
      <c r="FW45" s="143">
        <v>7</v>
      </c>
      <c r="FX45" s="143">
        <v>7</v>
      </c>
      <c r="FY45" s="143">
        <v>17</v>
      </c>
      <c r="FZ45" s="143">
        <v>10</v>
      </c>
      <c r="GA45" s="143">
        <v>6</v>
      </c>
      <c r="GB45" s="143">
        <v>11</v>
      </c>
      <c r="GC45" s="143">
        <v>19</v>
      </c>
      <c r="GD45" s="143">
        <v>4</v>
      </c>
      <c r="GE45" s="143">
        <v>8</v>
      </c>
      <c r="GF45" s="143">
        <v>9</v>
      </c>
      <c r="GG45" s="143">
        <v>6</v>
      </c>
      <c r="GH45" s="143">
        <v>9</v>
      </c>
      <c r="GI45" s="143">
        <v>6</v>
      </c>
      <c r="GJ45" s="143">
        <v>11</v>
      </c>
      <c r="GK45" s="143">
        <v>7</v>
      </c>
      <c r="GL45" s="143">
        <v>3</v>
      </c>
      <c r="GM45" s="143">
        <v>4</v>
      </c>
      <c r="GN45" s="143">
        <v>1</v>
      </c>
      <c r="GO45" s="143">
        <v>9</v>
      </c>
      <c r="GP45" s="143">
        <v>3</v>
      </c>
      <c r="GQ45" s="143">
        <v>2</v>
      </c>
      <c r="GR45" s="143">
        <v>5</v>
      </c>
      <c r="GS45" s="143">
        <f t="shared" si="34"/>
        <v>5.5</v>
      </c>
      <c r="GT45" s="152"/>
      <c r="GU45" s="12" t="s">
        <v>34</v>
      </c>
      <c r="GV45" s="145" t="s">
        <v>30</v>
      </c>
      <c r="GW45" s="145">
        <f t="shared" si="35"/>
        <v>0.5714285714285714</v>
      </c>
      <c r="GX45" s="145">
        <f t="shared" si="35"/>
        <v>-9.0909090909090912E-2</v>
      </c>
      <c r="GY45" s="145">
        <f t="shared" si="35"/>
        <v>0.73333333333333328</v>
      </c>
      <c r="GZ45" s="145">
        <f t="shared" si="35"/>
        <v>-0.5</v>
      </c>
      <c r="HA45" s="145">
        <f t="shared" si="35"/>
        <v>-0.53846153846153844</v>
      </c>
      <c r="HB45" s="145">
        <f t="shared" si="35"/>
        <v>1.3333333333333333</v>
      </c>
      <c r="HC45" s="145">
        <f t="shared" si="35"/>
        <v>0.14285714285714285</v>
      </c>
      <c r="HD45" s="145">
        <f t="shared" si="35"/>
        <v>-0.3125</v>
      </c>
      <c r="HE45" s="145">
        <f t="shared" si="35"/>
        <v>1.0454545454545454</v>
      </c>
      <c r="HF45" s="145">
        <f t="shared" si="35"/>
        <v>-0.55555555555555558</v>
      </c>
      <c r="HG45" s="145">
        <f t="shared" si="35"/>
        <v>0.35</v>
      </c>
      <c r="HH45" s="145">
        <f t="shared" si="35"/>
        <v>0.22222222222222221</v>
      </c>
      <c r="HI45" s="145">
        <f t="shared" si="35"/>
        <v>-0.36363636363636365</v>
      </c>
      <c r="HJ45" s="145">
        <f t="shared" si="35"/>
        <v>9.5238095238095233E-2</v>
      </c>
      <c r="HK45" s="145">
        <f t="shared" si="35"/>
        <v>1.0869565217391304</v>
      </c>
      <c r="HL45" s="145">
        <f t="shared" si="35"/>
        <v>-0.52083333333333337</v>
      </c>
      <c r="HM45" s="145">
        <f t="shared" si="36"/>
        <v>-0.34782608695652173</v>
      </c>
      <c r="HN45" s="145">
        <f t="shared" si="36"/>
        <v>1</v>
      </c>
      <c r="HO45" s="145">
        <f t="shared" si="36"/>
        <v>-0.1</v>
      </c>
      <c r="HP45" s="145">
        <f t="shared" si="36"/>
        <v>0.1111111111111111</v>
      </c>
      <c r="HQ45" s="145">
        <f t="shared" si="36"/>
        <v>0.13333333333333333</v>
      </c>
      <c r="HR45" s="145">
        <f t="shared" si="36"/>
        <v>-0.3235294117647059</v>
      </c>
      <c r="HS45" s="145">
        <f t="shared" si="36"/>
        <v>-0.60869565217391308</v>
      </c>
      <c r="HT45" s="145">
        <f t="shared" si="36"/>
        <v>0.55555555555555558</v>
      </c>
      <c r="HU45" s="145">
        <f t="shared" si="36"/>
        <v>-0.14285714285714285</v>
      </c>
      <c r="HV45" s="145">
        <f t="shared" si="36"/>
        <v>-0.41666666666666669</v>
      </c>
      <c r="HW45" s="145">
        <f t="shared" si="36"/>
        <v>2.5714285714285716</v>
      </c>
      <c r="HX45" s="145">
        <f t="shared" si="36"/>
        <v>-0.72</v>
      </c>
      <c r="HY45" s="145">
        <f t="shared" si="36"/>
        <v>0.7142857142857143</v>
      </c>
      <c r="HZ45" s="145">
        <f t="shared" si="36"/>
        <v>-0.58333333333333337</v>
      </c>
      <c r="IA45" s="145">
        <f t="shared" si="36"/>
        <v>0</v>
      </c>
      <c r="IB45" s="145">
        <f t="shared" si="36"/>
        <v>2.6</v>
      </c>
      <c r="IC45" s="145">
        <f t="shared" si="37"/>
        <v>0.33333333333333331</v>
      </c>
      <c r="ID45" s="145">
        <f t="shared" si="37"/>
        <v>-0.5</v>
      </c>
      <c r="IE45" s="145">
        <f t="shared" si="37"/>
        <v>-8.3333333333333329E-2</v>
      </c>
      <c r="IF45" s="145">
        <f t="shared" si="37"/>
        <v>0.36363636363636365</v>
      </c>
      <c r="IG45" s="145">
        <f t="shared" si="37"/>
        <v>-0.2</v>
      </c>
      <c r="IH45" s="145">
        <f t="shared" si="37"/>
        <v>-0.75</v>
      </c>
      <c r="II45" s="145">
        <f t="shared" si="37"/>
        <v>1</v>
      </c>
      <c r="IJ45" s="145">
        <f t="shared" si="37"/>
        <v>0.33333333333333331</v>
      </c>
      <c r="IK45" s="145">
        <f t="shared" si="37"/>
        <v>-0.75</v>
      </c>
      <c r="IL45" s="145">
        <f t="shared" si="37"/>
        <v>4</v>
      </c>
      <c r="IM45" s="145">
        <f t="shared" si="37"/>
        <v>-0.5</v>
      </c>
      <c r="IN45" s="145">
        <f t="shared" si="37"/>
        <v>1.4</v>
      </c>
      <c r="IO45" s="145">
        <f t="shared" si="37"/>
        <v>0.66666666666666663</v>
      </c>
      <c r="IP45" s="145">
        <f t="shared" si="37"/>
        <v>-0.65</v>
      </c>
      <c r="IQ45" s="145">
        <f t="shared" si="37"/>
        <v>-0.14285714285714285</v>
      </c>
      <c r="IR45" s="145">
        <f t="shared" si="37"/>
        <v>-0.66666666666666663</v>
      </c>
      <c r="IS45" s="145">
        <f t="shared" si="38"/>
        <v>3.5</v>
      </c>
      <c r="IT45" s="145">
        <f t="shared" si="38"/>
        <v>-0.66666666666666663</v>
      </c>
      <c r="IU45" s="145">
        <f t="shared" si="38"/>
        <v>2.6666666666666665</v>
      </c>
      <c r="IV45" s="145">
        <f t="shared" si="38"/>
        <v>-0.72727272727272729</v>
      </c>
      <c r="IW45" s="145">
        <f t="shared" si="38"/>
        <v>1</v>
      </c>
      <c r="IX45" s="145">
        <f t="shared" si="38"/>
        <v>0.83333333333333337</v>
      </c>
      <c r="IY45" s="145">
        <f t="shared" si="38"/>
        <v>-0.45454545454545453</v>
      </c>
      <c r="IZ45" s="145">
        <f t="shared" si="38"/>
        <v>1.3333333333333333</v>
      </c>
      <c r="JA45" s="145">
        <f t="shared" si="38"/>
        <v>-0.5</v>
      </c>
      <c r="JB45" s="145">
        <f t="shared" si="38"/>
        <v>0.5714285714285714</v>
      </c>
      <c r="JC45" s="145">
        <f t="shared" si="38"/>
        <v>-0.63636363636363635</v>
      </c>
      <c r="JD45" s="145">
        <f t="shared" si="38"/>
        <v>0</v>
      </c>
      <c r="JE45" s="145">
        <f t="shared" si="38"/>
        <v>-0.25</v>
      </c>
      <c r="JF45" s="145">
        <f t="shared" si="38"/>
        <v>0</v>
      </c>
      <c r="JG45" s="145">
        <f t="shared" si="38"/>
        <v>1.3333333333333333</v>
      </c>
      <c r="JH45" s="145">
        <f t="shared" si="38"/>
        <v>-0.7142857142857143</v>
      </c>
      <c r="JI45" s="145">
        <f t="shared" si="39"/>
        <v>-1</v>
      </c>
      <c r="JJ45" s="145" t="e">
        <f t="shared" si="39"/>
        <v>#DIV/0!</v>
      </c>
      <c r="JK45" s="145">
        <f t="shared" si="39"/>
        <v>1</v>
      </c>
      <c r="JL45" s="145">
        <f t="shared" si="39"/>
        <v>2.25</v>
      </c>
      <c r="JM45" s="145">
        <f t="shared" si="39"/>
        <v>-0.30769230769230771</v>
      </c>
      <c r="JN45" s="145">
        <f t="shared" si="39"/>
        <v>-0.66666666666666663</v>
      </c>
      <c r="JO45" s="145">
        <f t="shared" si="39"/>
        <v>0</v>
      </c>
      <c r="JP45" s="145">
        <f t="shared" si="39"/>
        <v>1</v>
      </c>
      <c r="JQ45" s="145">
        <f t="shared" si="39"/>
        <v>-0.5</v>
      </c>
      <c r="JR45" s="145">
        <f t="shared" si="39"/>
        <v>-0.33333333333333331</v>
      </c>
      <c r="JS45" s="145">
        <f t="shared" si="39"/>
        <v>1.5</v>
      </c>
      <c r="JT45" s="145">
        <f t="shared" si="39"/>
        <v>-0.2</v>
      </c>
      <c r="JU45" s="145">
        <f t="shared" si="39"/>
        <v>0.5</v>
      </c>
      <c r="JV45" s="145">
        <f t="shared" si="39"/>
        <v>0</v>
      </c>
      <c r="JW45" s="145">
        <f t="shared" si="39"/>
        <v>0.16666666666666666</v>
      </c>
      <c r="JX45" s="145">
        <f t="shared" si="39"/>
        <v>0.5714285714285714</v>
      </c>
      <c r="JY45" s="145">
        <f t="shared" si="40"/>
        <v>0.27272727272727271</v>
      </c>
      <c r="JZ45" s="145">
        <f t="shared" si="40"/>
        <v>-0.5</v>
      </c>
      <c r="KA45" s="145">
        <f t="shared" si="40"/>
        <v>-0.5714285714285714</v>
      </c>
      <c r="KB45" s="145">
        <f t="shared" si="40"/>
        <v>2.3333333333333335</v>
      </c>
      <c r="KC45" s="145">
        <f t="shared" si="40"/>
        <v>0</v>
      </c>
      <c r="KD45" s="145">
        <f t="shared" si="40"/>
        <v>-0.3</v>
      </c>
      <c r="KE45" s="145">
        <f t="shared" si="40"/>
        <v>1.1428571428571428</v>
      </c>
      <c r="KF45" s="145">
        <f t="shared" si="40"/>
        <v>-0.46666666666666667</v>
      </c>
      <c r="KG45" s="145">
        <f t="shared" si="40"/>
        <v>0.375</v>
      </c>
      <c r="KH45" s="145">
        <f t="shared" si="40"/>
        <v>-0.45454545454545453</v>
      </c>
      <c r="KI45" s="145">
        <f t="shared" si="40"/>
        <v>-0.16666666666666666</v>
      </c>
      <c r="KJ45" s="145">
        <f t="shared" si="40"/>
        <v>2</v>
      </c>
      <c r="KK45" s="145">
        <f t="shared" si="40"/>
        <v>0.46666666666666667</v>
      </c>
      <c r="KL45" s="145">
        <f t="shared" si="40"/>
        <v>-0.72727272727272729</v>
      </c>
      <c r="KM45" s="145">
        <f t="shared" si="40"/>
        <v>0.66666666666666663</v>
      </c>
      <c r="KN45" s="145">
        <f t="shared" si="40"/>
        <v>-0.5</v>
      </c>
      <c r="KO45" s="145">
        <f t="shared" si="41"/>
        <v>0.4</v>
      </c>
      <c r="KP45" s="145">
        <f t="shared" si="41"/>
        <v>-0.8571428571428571</v>
      </c>
      <c r="KQ45" s="145">
        <f t="shared" si="41"/>
        <v>11</v>
      </c>
      <c r="KR45" s="145">
        <f t="shared" si="41"/>
        <v>-0.75</v>
      </c>
      <c r="KS45" s="145">
        <f t="shared" si="41"/>
        <v>1</v>
      </c>
      <c r="KT45" s="145">
        <f t="shared" si="41"/>
        <v>0</v>
      </c>
      <c r="KU45" s="145">
        <f t="shared" si="41"/>
        <v>0.33333333333333331</v>
      </c>
      <c r="KV45" s="145">
        <f t="shared" si="41"/>
        <v>0.625</v>
      </c>
      <c r="KW45" s="145">
        <f t="shared" si="41"/>
        <v>0.30769230769230771</v>
      </c>
      <c r="KX45" s="145">
        <f t="shared" si="41"/>
        <v>-0.47058823529411764</v>
      </c>
      <c r="KY45" s="145">
        <f t="shared" si="41"/>
        <v>-0.22222222222222221</v>
      </c>
      <c r="KZ45" s="145">
        <f t="shared" si="41"/>
        <v>0.14285714285714285</v>
      </c>
      <c r="LA45" s="145">
        <f t="shared" si="41"/>
        <v>0</v>
      </c>
      <c r="LB45" s="145">
        <f t="shared" si="41"/>
        <v>-0.125</v>
      </c>
      <c r="LC45" s="145">
        <f t="shared" si="41"/>
        <v>1.1428571428571428</v>
      </c>
      <c r="LD45" s="145">
        <f t="shared" si="41"/>
        <v>-0.33333333333333331</v>
      </c>
      <c r="LE45" s="145">
        <f t="shared" si="29"/>
        <v>-0.4</v>
      </c>
      <c r="LF45" s="145">
        <f t="shared" si="29"/>
        <v>0.5</v>
      </c>
      <c r="LG45" s="145">
        <f t="shared" si="29"/>
        <v>0.33333333333333331</v>
      </c>
      <c r="LH45" s="145">
        <f t="shared" si="29"/>
        <v>0.66666666666666663</v>
      </c>
      <c r="LI45" s="145">
        <f t="shared" si="29"/>
        <v>0</v>
      </c>
      <c r="LJ45" s="145">
        <f t="shared" si="29"/>
        <v>-0.3</v>
      </c>
      <c r="LK45" s="145">
        <f t="shared" si="29"/>
        <v>-0.5714285714285714</v>
      </c>
      <c r="LL45" s="145">
        <f t="shared" si="29"/>
        <v>0.66666666666666663</v>
      </c>
      <c r="LM45" s="145">
        <f t="shared" si="29"/>
        <v>-0.7</v>
      </c>
      <c r="LN45" s="145">
        <f t="shared" si="29"/>
        <v>0.33333333333333331</v>
      </c>
      <c r="LO45" s="145">
        <f t="shared" si="29"/>
        <v>4</v>
      </c>
      <c r="LP45" s="145">
        <f t="shared" si="29"/>
        <v>-0.75</v>
      </c>
      <c r="LQ45" s="145">
        <f t="shared" si="29"/>
        <v>0.4</v>
      </c>
      <c r="LR45" s="145">
        <f t="shared" si="29"/>
        <v>0.14285714285714285</v>
      </c>
      <c r="LS45" s="145">
        <f t="shared" si="29"/>
        <v>0.375</v>
      </c>
      <c r="LT45" s="145">
        <f t="shared" si="29"/>
        <v>-9.0909090909090912E-2</v>
      </c>
      <c r="LU45" s="145">
        <f t="shared" si="30"/>
        <v>0.6</v>
      </c>
      <c r="LV45" s="145">
        <f t="shared" si="30"/>
        <v>-0.5</v>
      </c>
      <c r="LW45" s="145">
        <f t="shared" si="30"/>
        <v>-0.375</v>
      </c>
      <c r="LX45" s="145">
        <f t="shared" si="30"/>
        <v>0</v>
      </c>
      <c r="LY45" s="145">
        <f t="shared" si="30"/>
        <v>-0.2</v>
      </c>
      <c r="LZ45" s="145">
        <f t="shared" si="30"/>
        <v>0</v>
      </c>
      <c r="MA45" s="145">
        <f t="shared" si="30"/>
        <v>1.5</v>
      </c>
      <c r="MB45" s="145">
        <f t="shared" si="30"/>
        <v>-0.7</v>
      </c>
      <c r="MC45" s="145">
        <f t="shared" si="30"/>
        <v>0</v>
      </c>
      <c r="MD45" s="145">
        <f t="shared" si="30"/>
        <v>0.66666666666666663</v>
      </c>
      <c r="ME45" s="145">
        <f t="shared" si="30"/>
        <v>1.4</v>
      </c>
      <c r="MF45" s="145">
        <f t="shared" si="30"/>
        <v>-0.16666666666666666</v>
      </c>
      <c r="MG45" s="145">
        <f t="shared" si="30"/>
        <v>0</v>
      </c>
      <c r="MH45" s="145">
        <f t="shared" si="30"/>
        <v>0.1</v>
      </c>
      <c r="MI45" s="145">
        <f t="shared" si="30"/>
        <v>-0.63636363636363635</v>
      </c>
      <c r="MJ45" s="145">
        <f t="shared" si="30"/>
        <v>-0.5</v>
      </c>
      <c r="MK45" s="145">
        <f t="shared" si="30"/>
        <v>1.5</v>
      </c>
      <c r="ML45" s="145">
        <f t="shared" si="30"/>
        <v>-0.2</v>
      </c>
      <c r="MM45" s="145">
        <f t="shared" si="30"/>
        <v>0.75</v>
      </c>
      <c r="MN45" s="145">
        <f t="shared" si="30"/>
        <v>0.14285714285714285</v>
      </c>
      <c r="MO45" s="145">
        <f t="shared" si="30"/>
        <v>-0.625</v>
      </c>
      <c r="MP45" s="145">
        <f t="shared" si="30"/>
        <v>0.33333333333333331</v>
      </c>
      <c r="MQ45" s="145">
        <f t="shared" si="30"/>
        <v>0</v>
      </c>
      <c r="MR45" s="145">
        <f t="shared" si="30"/>
        <v>1.25</v>
      </c>
      <c r="MS45" s="145">
        <f>(EZ45-EY45)/EY45</f>
        <v>-0.5</v>
      </c>
      <c r="MT45" s="145">
        <f t="shared" si="31"/>
        <v>-1</v>
      </c>
      <c r="MU45" s="145">
        <f t="shared" si="31"/>
        <v>0.33333333333333331</v>
      </c>
      <c r="MV45" s="145">
        <f t="shared" si="31"/>
        <v>-1</v>
      </c>
      <c r="MW45" s="145">
        <f t="shared" si="31"/>
        <v>-2</v>
      </c>
      <c r="MX45" s="145" t="e">
        <f t="shared" si="31"/>
        <v>#DIV/0!</v>
      </c>
      <c r="MY45" s="145">
        <f t="shared" si="31"/>
        <v>1</v>
      </c>
      <c r="MZ45" s="145">
        <f t="shared" si="31"/>
        <v>-2</v>
      </c>
      <c r="NA45" s="145">
        <f t="shared" si="31"/>
        <v>0.66666666666666663</v>
      </c>
      <c r="NB45" s="145">
        <f t="shared" si="31"/>
        <v>-0.5</v>
      </c>
      <c r="NC45" s="145">
        <f t="shared" si="31"/>
        <v>0</v>
      </c>
      <c r="ND45" s="145">
        <f t="shared" si="31"/>
        <v>0.33333333333333331</v>
      </c>
      <c r="NE45" s="145">
        <f t="shared" si="31"/>
        <v>-0.5</v>
      </c>
      <c r="NF45" s="145">
        <f t="shared" si="31"/>
        <v>-1</v>
      </c>
      <c r="NG45" s="145">
        <f t="shared" si="31"/>
        <v>0.66666666666666663</v>
      </c>
      <c r="NH45" s="145">
        <f t="shared" si="31"/>
        <v>0</v>
      </c>
      <c r="NI45" s="145">
        <f t="shared" si="31"/>
        <v>0</v>
      </c>
      <c r="NJ45" s="145">
        <f t="shared" si="32"/>
        <v>-0.5</v>
      </c>
      <c r="NK45" s="145">
        <f t="shared" si="32"/>
        <v>0.6</v>
      </c>
      <c r="NL45" s="145">
        <f t="shared" si="32"/>
        <v>-4</v>
      </c>
      <c r="NM45" s="145" t="e">
        <f t="shared" si="32"/>
        <v>#DIV/0!</v>
      </c>
      <c r="NN45" s="145">
        <f t="shared" si="32"/>
        <v>1</v>
      </c>
      <c r="NO45" s="145">
        <f t="shared" si="32"/>
        <v>0.66666666666666663</v>
      </c>
      <c r="NP45" s="145">
        <f t="shared" si="32"/>
        <v>-2</v>
      </c>
      <c r="NQ45" s="145">
        <f t="shared" si="32"/>
        <v>0.8571428571428571</v>
      </c>
      <c r="NR45" s="145">
        <f t="shared" si="32"/>
        <v>0</v>
      </c>
      <c r="NS45" s="145">
        <f t="shared" si="32"/>
        <v>0.58823529411764708</v>
      </c>
      <c r="NT45" s="145">
        <f t="shared" si="32"/>
        <v>-0.7</v>
      </c>
      <c r="NU45" s="145">
        <f t="shared" si="32"/>
        <v>-0.66666666666666663</v>
      </c>
      <c r="NV45" s="145">
        <f t="shared" si="32"/>
        <v>0.45454545454545453</v>
      </c>
      <c r="NW45" s="145">
        <f t="shared" si="32"/>
        <v>0.42105263157894735</v>
      </c>
      <c r="NX45" s="145">
        <f t="shared" si="33"/>
        <v>-3.75</v>
      </c>
      <c r="NY45" s="145">
        <f t="shared" si="33"/>
        <v>0.5</v>
      </c>
      <c r="NZ45" s="145">
        <f t="shared" si="33"/>
        <v>0.1111111111111111</v>
      </c>
      <c r="OA45" s="145">
        <f t="shared" si="33"/>
        <v>-0.5</v>
      </c>
      <c r="OB45" s="145">
        <f t="shared" si="33"/>
        <v>0.33333333333333331</v>
      </c>
      <c r="OC45" s="145">
        <f t="shared" si="33"/>
        <v>-0.5</v>
      </c>
      <c r="OD45" s="145">
        <f t="shared" si="33"/>
        <v>0.45454545454545453</v>
      </c>
      <c r="OE45" s="145">
        <f t="shared" si="33"/>
        <v>-0.5714285714285714</v>
      </c>
      <c r="OF45" s="145">
        <f t="shared" si="33"/>
        <v>-1.3333333333333333</v>
      </c>
      <c r="OG45" s="145">
        <f t="shared" si="33"/>
        <v>0.25</v>
      </c>
      <c r="OH45" s="145">
        <f t="shared" si="33"/>
        <v>-3</v>
      </c>
      <c r="OI45" s="145">
        <f t="shared" si="33"/>
        <v>0.88888888888888884</v>
      </c>
      <c r="OJ45" s="145">
        <f t="shared" si="33"/>
        <v>-2</v>
      </c>
      <c r="OK45" s="145">
        <f t="shared" si="33"/>
        <v>-0.5</v>
      </c>
      <c r="OL45" s="145">
        <f t="shared" si="33"/>
        <v>0.6</v>
      </c>
    </row>
    <row r="46" spans="1:402" x14ac:dyDescent="0.35">
      <c r="B46" s="23"/>
      <c r="C46" s="23"/>
      <c r="D46" s="23"/>
      <c r="E46" s="23"/>
      <c r="F46" s="23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V46" s="25"/>
      <c r="GW46" s="25"/>
      <c r="GX46" s="25"/>
      <c r="GY46" s="25"/>
    </row>
    <row r="48" spans="1:402" ht="16" thickBot="1" x14ac:dyDescent="0.4">
      <c r="A48" s="12" t="s">
        <v>39</v>
      </c>
      <c r="GU48" s="12" t="s">
        <v>36</v>
      </c>
    </row>
    <row r="49" spans="1:402" x14ac:dyDescent="0.35">
      <c r="B49" s="13">
        <v>2007</v>
      </c>
      <c r="C49" s="13"/>
      <c r="D49" s="13"/>
      <c r="E49" s="14"/>
      <c r="F49" s="15">
        <v>2008</v>
      </c>
      <c r="G49" s="16"/>
      <c r="H49" s="17"/>
      <c r="I49" s="16"/>
      <c r="J49" s="16"/>
      <c r="K49" s="16"/>
      <c r="L49" s="18"/>
      <c r="M49" s="18"/>
      <c r="N49" s="18"/>
      <c r="O49" s="18"/>
      <c r="P49" s="18"/>
      <c r="Q49" s="18"/>
      <c r="R49" s="19">
        <v>2009</v>
      </c>
      <c r="S49" s="19"/>
      <c r="T49" s="19"/>
      <c r="U49" s="19"/>
      <c r="V49" s="16"/>
      <c r="W49" s="16"/>
      <c r="X49" s="16"/>
      <c r="Y49" s="16"/>
      <c r="Z49" s="16"/>
      <c r="AA49" s="16"/>
      <c r="AB49" s="16"/>
      <c r="AC49" s="16"/>
      <c r="AD49" s="19">
        <v>2010</v>
      </c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>
        <v>2011</v>
      </c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9">
        <v>2012</v>
      </c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9">
        <v>2013</v>
      </c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>
        <v>2014</v>
      </c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>
        <v>2015</v>
      </c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9">
        <v>2016</v>
      </c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9">
        <v>2017</v>
      </c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>
        <v>2018</v>
      </c>
      <c r="DW49" s="19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9">
        <v>2019</v>
      </c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9">
        <v>2020</v>
      </c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9">
        <v>2021</v>
      </c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>
        <v>2022</v>
      </c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>
        <v>2023</v>
      </c>
      <c r="GE49" s="19"/>
      <c r="GF49" s="16"/>
      <c r="GG49" s="19">
        <v>2023</v>
      </c>
      <c r="GH49" s="16"/>
      <c r="GI49" s="16"/>
      <c r="GJ49" s="16"/>
      <c r="GK49" s="16"/>
      <c r="GL49" s="16"/>
      <c r="GM49" s="16"/>
      <c r="GN49" s="16"/>
      <c r="GO49" s="16"/>
      <c r="GP49" s="19">
        <v>2024</v>
      </c>
      <c r="GQ49" s="19"/>
      <c r="GR49" s="183"/>
      <c r="GS49" s="43"/>
      <c r="GV49" s="13">
        <v>2007</v>
      </c>
      <c r="GW49" s="13"/>
      <c r="GX49" s="13"/>
      <c r="GY49" s="14"/>
      <c r="GZ49" s="15">
        <v>2008</v>
      </c>
      <c r="HA49" s="16"/>
      <c r="HB49" s="17"/>
      <c r="HC49" s="16"/>
      <c r="HD49" s="16"/>
      <c r="HE49" s="16"/>
      <c r="HF49" s="18"/>
      <c r="HG49" s="18"/>
      <c r="HH49" s="18"/>
      <c r="HI49" s="18"/>
      <c r="HJ49" s="18"/>
      <c r="HK49" s="18"/>
      <c r="HL49" s="19">
        <v>2009</v>
      </c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>
        <v>2010</v>
      </c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>
        <v>2011</v>
      </c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>
        <v>2012</v>
      </c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>
        <v>2013</v>
      </c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>
        <v>2014</v>
      </c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>
        <v>2015</v>
      </c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>
        <v>2016</v>
      </c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>
        <v>2017</v>
      </c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>
        <v>2018</v>
      </c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>
        <v>2019</v>
      </c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>
        <v>2020</v>
      </c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>
        <v>2021</v>
      </c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>
        <v>2022</v>
      </c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>
        <v>2023</v>
      </c>
      <c r="NY49" s="19"/>
      <c r="NZ49" s="19"/>
      <c r="OA49" s="19">
        <v>2023</v>
      </c>
      <c r="OB49" s="19"/>
      <c r="OC49" s="19"/>
      <c r="OD49" s="19"/>
      <c r="OE49" s="19"/>
      <c r="OF49" s="19"/>
      <c r="OG49" s="19"/>
      <c r="OH49" s="19"/>
      <c r="OI49" s="19"/>
      <c r="OJ49" s="19">
        <v>2024</v>
      </c>
      <c r="OK49" s="19"/>
      <c r="OL49" s="19"/>
    </row>
    <row r="50" spans="1:402" s="2" customFormat="1" x14ac:dyDescent="0.35">
      <c r="A50" s="26"/>
      <c r="B50" s="20" t="s">
        <v>3</v>
      </c>
      <c r="C50" s="20" t="s">
        <v>4</v>
      </c>
      <c r="D50" s="20" t="s">
        <v>5</v>
      </c>
      <c r="E50" s="20" t="s">
        <v>6</v>
      </c>
      <c r="F50" s="20" t="s">
        <v>7</v>
      </c>
      <c r="G50" s="20" t="s">
        <v>8</v>
      </c>
      <c r="H50" s="20" t="s">
        <v>9</v>
      </c>
      <c r="I50" s="20" t="s">
        <v>10</v>
      </c>
      <c r="J50" s="20" t="s">
        <v>11</v>
      </c>
      <c r="K50" s="20" t="s">
        <v>12</v>
      </c>
      <c r="L50" s="20" t="s">
        <v>13</v>
      </c>
      <c r="M50" s="20" t="s">
        <v>14</v>
      </c>
      <c r="N50" s="20" t="s">
        <v>3</v>
      </c>
      <c r="O50" s="20" t="s">
        <v>4</v>
      </c>
      <c r="P50" s="20" t="s">
        <v>5</v>
      </c>
      <c r="Q50" s="20" t="s">
        <v>15</v>
      </c>
      <c r="R50" s="22" t="s">
        <v>7</v>
      </c>
      <c r="S50" s="22" t="s">
        <v>8</v>
      </c>
      <c r="T50" s="22" t="s">
        <v>9</v>
      </c>
      <c r="U50" s="22" t="s">
        <v>10</v>
      </c>
      <c r="V50" s="22" t="s">
        <v>11</v>
      </c>
      <c r="W50" s="22" t="s">
        <v>12</v>
      </c>
      <c r="X50" s="22" t="s">
        <v>13</v>
      </c>
      <c r="Y50" s="22" t="s">
        <v>14</v>
      </c>
      <c r="Z50" s="22" t="s">
        <v>16</v>
      </c>
      <c r="AA50" s="22" t="s">
        <v>4</v>
      </c>
      <c r="AB50" s="22" t="s">
        <v>5</v>
      </c>
      <c r="AC50" s="22" t="s">
        <v>6</v>
      </c>
      <c r="AD50" s="22" t="s">
        <v>17</v>
      </c>
      <c r="AE50" s="22" t="s">
        <v>8</v>
      </c>
      <c r="AF50" s="22" t="s">
        <v>18</v>
      </c>
      <c r="AG50" s="22" t="s">
        <v>10</v>
      </c>
      <c r="AH50" s="22" t="s">
        <v>11</v>
      </c>
      <c r="AI50" s="22" t="s">
        <v>12</v>
      </c>
      <c r="AJ50" s="22" t="s">
        <v>13</v>
      </c>
      <c r="AK50" s="22" t="s">
        <v>14</v>
      </c>
      <c r="AL50" s="22" t="s">
        <v>16</v>
      </c>
      <c r="AM50" s="22" t="s">
        <v>19</v>
      </c>
      <c r="AN50" s="22" t="s">
        <v>5</v>
      </c>
      <c r="AO50" s="22" t="s">
        <v>6</v>
      </c>
      <c r="AP50" s="22" t="s">
        <v>7</v>
      </c>
      <c r="AQ50" s="22" t="s">
        <v>8</v>
      </c>
      <c r="AR50" s="22" t="s">
        <v>9</v>
      </c>
      <c r="AS50" s="22" t="s">
        <v>10</v>
      </c>
      <c r="AT50" s="22" t="s">
        <v>11</v>
      </c>
      <c r="AU50" s="22" t="s">
        <v>12</v>
      </c>
      <c r="AV50" s="22" t="s">
        <v>13</v>
      </c>
      <c r="AW50" s="22" t="s">
        <v>14</v>
      </c>
      <c r="AX50" s="22" t="s">
        <v>3</v>
      </c>
      <c r="AY50" s="22" t="s">
        <v>4</v>
      </c>
      <c r="AZ50" s="22" t="s">
        <v>5</v>
      </c>
      <c r="BA50" s="22" t="s">
        <v>15</v>
      </c>
      <c r="BB50" s="22" t="s">
        <v>7</v>
      </c>
      <c r="BC50" s="22" t="s">
        <v>8</v>
      </c>
      <c r="BD50" s="22" t="s">
        <v>18</v>
      </c>
      <c r="BE50" s="22" t="s">
        <v>10</v>
      </c>
      <c r="BF50" s="22" t="s">
        <v>11</v>
      </c>
      <c r="BG50" s="22" t="s">
        <v>12</v>
      </c>
      <c r="BH50" s="22" t="s">
        <v>20</v>
      </c>
      <c r="BI50" s="22" t="s">
        <v>21</v>
      </c>
      <c r="BJ50" s="22" t="s">
        <v>16</v>
      </c>
      <c r="BK50" s="22" t="s">
        <v>19</v>
      </c>
      <c r="BL50" s="22" t="s">
        <v>5</v>
      </c>
      <c r="BM50" s="22" t="s">
        <v>15</v>
      </c>
      <c r="BN50" s="22" t="s">
        <v>7</v>
      </c>
      <c r="BO50" s="22" t="s">
        <v>8</v>
      </c>
      <c r="BP50" s="22" t="s">
        <v>9</v>
      </c>
      <c r="BQ50" s="22" t="s">
        <v>10</v>
      </c>
      <c r="BR50" s="22" t="s">
        <v>11</v>
      </c>
      <c r="BS50" s="22" t="s">
        <v>12</v>
      </c>
      <c r="BT50" s="22" t="s">
        <v>20</v>
      </c>
      <c r="BU50" s="22" t="s">
        <v>21</v>
      </c>
      <c r="BV50" s="22" t="s">
        <v>22</v>
      </c>
      <c r="BW50" s="22" t="s">
        <v>4</v>
      </c>
      <c r="BX50" s="22" t="s">
        <v>5</v>
      </c>
      <c r="BY50" s="22" t="s">
        <v>6</v>
      </c>
      <c r="BZ50" s="22" t="s">
        <v>17</v>
      </c>
      <c r="CA50" s="22" t="s">
        <v>23</v>
      </c>
      <c r="CB50" s="22" t="s">
        <v>18</v>
      </c>
      <c r="CC50" s="22" t="s">
        <v>24</v>
      </c>
      <c r="CD50" s="22" t="s">
        <v>11</v>
      </c>
      <c r="CE50" s="22" t="s">
        <v>12</v>
      </c>
      <c r="CF50" s="22" t="s">
        <v>13</v>
      </c>
      <c r="CG50" s="22" t="s">
        <v>14</v>
      </c>
      <c r="CH50" s="22" t="s">
        <v>16</v>
      </c>
      <c r="CI50" s="22" t="s">
        <v>4</v>
      </c>
      <c r="CJ50" s="22" t="s">
        <v>5</v>
      </c>
      <c r="CK50" s="22" t="s">
        <v>6</v>
      </c>
      <c r="CL50" s="22" t="s">
        <v>7</v>
      </c>
      <c r="CM50" s="22" t="s">
        <v>8</v>
      </c>
      <c r="CN50" s="22" t="s">
        <v>18</v>
      </c>
      <c r="CO50" s="22" t="s">
        <v>10</v>
      </c>
      <c r="CP50" s="22" t="s">
        <v>11</v>
      </c>
      <c r="CQ50" s="22" t="s">
        <v>12</v>
      </c>
      <c r="CR50" s="22" t="s">
        <v>20</v>
      </c>
      <c r="CS50" s="22" t="s">
        <v>14</v>
      </c>
      <c r="CT50" s="22" t="s">
        <v>22</v>
      </c>
      <c r="CU50" s="22" t="s">
        <v>19</v>
      </c>
      <c r="CV50" s="22" t="s">
        <v>5</v>
      </c>
      <c r="CW50" s="22" t="s">
        <v>15</v>
      </c>
      <c r="CX50" s="22" t="s">
        <v>7</v>
      </c>
      <c r="CY50" s="22" t="s">
        <v>23</v>
      </c>
      <c r="CZ50" s="22" t="s">
        <v>18</v>
      </c>
      <c r="DA50" s="22" t="s">
        <v>24</v>
      </c>
      <c r="DB50" s="22" t="s">
        <v>11</v>
      </c>
      <c r="DC50" s="22" t="s">
        <v>12</v>
      </c>
      <c r="DD50" s="22" t="s">
        <v>13</v>
      </c>
      <c r="DE50" s="22" t="s">
        <v>14</v>
      </c>
      <c r="DF50" s="22" t="s">
        <v>16</v>
      </c>
      <c r="DG50" s="22" t="s">
        <v>4</v>
      </c>
      <c r="DH50" s="22" t="s">
        <v>5</v>
      </c>
      <c r="DI50" s="22" t="s">
        <v>15</v>
      </c>
      <c r="DJ50" s="22" t="s">
        <v>7</v>
      </c>
      <c r="DK50" s="22" t="s">
        <v>8</v>
      </c>
      <c r="DL50" s="22" t="s">
        <v>18</v>
      </c>
      <c r="DM50" s="22" t="s">
        <v>24</v>
      </c>
      <c r="DN50" s="22" t="s">
        <v>11</v>
      </c>
      <c r="DO50" s="22" t="s">
        <v>12</v>
      </c>
      <c r="DP50" s="22" t="s">
        <v>20</v>
      </c>
      <c r="DQ50" s="22" t="s">
        <v>14</v>
      </c>
      <c r="DR50" s="22" t="s">
        <v>22</v>
      </c>
      <c r="DS50" s="22" t="s">
        <v>19</v>
      </c>
      <c r="DT50" s="22" t="s">
        <v>5</v>
      </c>
      <c r="DU50" s="22" t="s">
        <v>15</v>
      </c>
      <c r="DV50" s="22" t="s">
        <v>7</v>
      </c>
      <c r="DW50" s="22" t="s">
        <v>8</v>
      </c>
      <c r="DX50" s="22" t="s">
        <v>18</v>
      </c>
      <c r="DY50" s="22" t="s">
        <v>24</v>
      </c>
      <c r="DZ50" s="22" t="s">
        <v>11</v>
      </c>
      <c r="EA50" s="22" t="s">
        <v>12</v>
      </c>
      <c r="EB50" s="22" t="s">
        <v>20</v>
      </c>
      <c r="EC50" s="22" t="s">
        <v>21</v>
      </c>
      <c r="ED50" s="22" t="s">
        <v>22</v>
      </c>
      <c r="EE50" s="22" t="s">
        <v>4</v>
      </c>
      <c r="EF50" s="22" t="s">
        <v>5</v>
      </c>
      <c r="EG50" s="22" t="s">
        <v>15</v>
      </c>
      <c r="EH50" s="22" t="s">
        <v>17</v>
      </c>
      <c r="EI50" s="22" t="s">
        <v>23</v>
      </c>
      <c r="EJ50" s="22" t="s">
        <v>18</v>
      </c>
      <c r="EK50" s="22" t="s">
        <v>24</v>
      </c>
      <c r="EL50" s="22" t="s">
        <v>11</v>
      </c>
      <c r="EM50" s="22" t="s">
        <v>12</v>
      </c>
      <c r="EN50" s="22" t="s">
        <v>20</v>
      </c>
      <c r="EO50" s="22" t="s">
        <v>21</v>
      </c>
      <c r="EP50" s="22" t="s">
        <v>22</v>
      </c>
      <c r="EQ50" s="22" t="s">
        <v>4</v>
      </c>
      <c r="ER50" s="22" t="s">
        <v>5</v>
      </c>
      <c r="ES50" s="22" t="s">
        <v>6</v>
      </c>
      <c r="ET50" s="22" t="s">
        <v>17</v>
      </c>
      <c r="EU50" s="22" t="s">
        <v>8</v>
      </c>
      <c r="EV50" s="22" t="s">
        <v>18</v>
      </c>
      <c r="EW50" s="22" t="s">
        <v>24</v>
      </c>
      <c r="EX50" s="22" t="s">
        <v>11</v>
      </c>
      <c r="EY50" s="22" t="s">
        <v>12</v>
      </c>
      <c r="EZ50" s="22" t="s">
        <v>20</v>
      </c>
      <c r="FA50" s="22" t="s">
        <v>14</v>
      </c>
      <c r="FB50" s="22" t="s">
        <v>22</v>
      </c>
      <c r="FC50" s="22" t="s">
        <v>4</v>
      </c>
      <c r="FD50" s="22" t="s">
        <v>5</v>
      </c>
      <c r="FE50" s="22" t="s">
        <v>6</v>
      </c>
      <c r="FF50" s="22" t="s">
        <v>7</v>
      </c>
      <c r="FG50" s="22" t="s">
        <v>8</v>
      </c>
      <c r="FH50" s="22" t="s">
        <v>9</v>
      </c>
      <c r="FI50" s="22" t="s">
        <v>24</v>
      </c>
      <c r="FJ50" s="22" t="s">
        <v>11</v>
      </c>
      <c r="FK50" s="22" t="s">
        <v>12</v>
      </c>
      <c r="FL50" s="22" t="s">
        <v>20</v>
      </c>
      <c r="FM50" s="22" t="s">
        <v>14</v>
      </c>
      <c r="FN50" s="22" t="s">
        <v>22</v>
      </c>
      <c r="FO50" s="22" t="s">
        <v>19</v>
      </c>
      <c r="FP50" s="22" t="s">
        <v>27</v>
      </c>
      <c r="FQ50" s="22" t="s">
        <v>15</v>
      </c>
      <c r="FR50" s="22" t="s">
        <v>7</v>
      </c>
      <c r="FS50" s="22" t="s">
        <v>8</v>
      </c>
      <c r="FT50" s="22" t="s">
        <v>9</v>
      </c>
      <c r="FU50" s="22" t="s">
        <v>10</v>
      </c>
      <c r="FV50" s="22" t="s">
        <v>11</v>
      </c>
      <c r="FW50" s="22" t="s">
        <v>12</v>
      </c>
      <c r="FX50" s="22" t="s">
        <v>20</v>
      </c>
      <c r="FY50" s="22" t="s">
        <v>14</v>
      </c>
      <c r="FZ50" s="22" t="s">
        <v>16</v>
      </c>
      <c r="GA50" s="22" t="s">
        <v>19</v>
      </c>
      <c r="GB50" s="22" t="s">
        <v>5</v>
      </c>
      <c r="GC50" s="22" t="s">
        <v>6</v>
      </c>
      <c r="GD50" s="22" t="s">
        <v>7</v>
      </c>
      <c r="GE50" s="22" t="s">
        <v>8</v>
      </c>
      <c r="GF50" s="22" t="s">
        <v>18</v>
      </c>
      <c r="GG50" s="22" t="s">
        <v>24</v>
      </c>
      <c r="GH50" s="22" t="s">
        <v>11</v>
      </c>
      <c r="GI50" s="22" t="s">
        <v>12</v>
      </c>
      <c r="GJ50" s="22" t="s">
        <v>13</v>
      </c>
      <c r="GK50" s="22" t="s">
        <v>14</v>
      </c>
      <c r="GL50" s="22" t="s">
        <v>22</v>
      </c>
      <c r="GM50" s="22" t="s">
        <v>4</v>
      </c>
      <c r="GN50" s="22" t="s">
        <v>5</v>
      </c>
      <c r="GO50" s="22" t="s">
        <v>6</v>
      </c>
      <c r="GP50" s="22" t="s">
        <v>7</v>
      </c>
      <c r="GQ50" s="22" t="s">
        <v>8</v>
      </c>
      <c r="GR50" s="22" t="s">
        <v>18</v>
      </c>
      <c r="GV50" s="20" t="s">
        <v>3</v>
      </c>
      <c r="GW50" s="21" t="s">
        <v>4</v>
      </c>
      <c r="GX50" s="20" t="s">
        <v>5</v>
      </c>
      <c r="GY50" s="20" t="s">
        <v>6</v>
      </c>
      <c r="GZ50" s="20" t="s">
        <v>7</v>
      </c>
      <c r="HA50" s="20" t="s">
        <v>8</v>
      </c>
      <c r="HB50" s="20" t="s">
        <v>9</v>
      </c>
      <c r="HC50" s="20" t="s">
        <v>10</v>
      </c>
      <c r="HD50" s="20" t="s">
        <v>11</v>
      </c>
      <c r="HE50" s="20" t="s">
        <v>12</v>
      </c>
      <c r="HF50" s="20" t="s">
        <v>13</v>
      </c>
      <c r="HG50" s="20" t="s">
        <v>14</v>
      </c>
      <c r="HH50" s="20" t="s">
        <v>3</v>
      </c>
      <c r="HI50" s="20" t="s">
        <v>4</v>
      </c>
      <c r="HJ50" s="20" t="s">
        <v>5</v>
      </c>
      <c r="HK50" s="20" t="s">
        <v>15</v>
      </c>
      <c r="HL50" s="22" t="s">
        <v>7</v>
      </c>
      <c r="HM50" s="22" t="s">
        <v>8</v>
      </c>
      <c r="HN50" s="22" t="s">
        <v>9</v>
      </c>
      <c r="HO50" s="22" t="s">
        <v>10</v>
      </c>
      <c r="HP50" s="22" t="s">
        <v>11</v>
      </c>
      <c r="HQ50" s="22" t="s">
        <v>12</v>
      </c>
      <c r="HR50" s="22" t="s">
        <v>13</v>
      </c>
      <c r="HS50" s="22" t="s">
        <v>14</v>
      </c>
      <c r="HT50" s="22" t="s">
        <v>16</v>
      </c>
      <c r="HU50" s="44" t="s">
        <v>4</v>
      </c>
      <c r="HV50" s="22" t="s">
        <v>5</v>
      </c>
      <c r="HW50" s="22" t="s">
        <v>6</v>
      </c>
      <c r="HX50" s="22" t="s">
        <v>17</v>
      </c>
      <c r="HY50" s="22" t="s">
        <v>8</v>
      </c>
      <c r="HZ50" s="22" t="s">
        <v>18</v>
      </c>
      <c r="IA50" s="22" t="s">
        <v>10</v>
      </c>
      <c r="IB50" s="22" t="s">
        <v>11</v>
      </c>
      <c r="IC50" s="22" t="s">
        <v>12</v>
      </c>
      <c r="ID50" s="22" t="s">
        <v>13</v>
      </c>
      <c r="IE50" s="22" t="s">
        <v>26</v>
      </c>
      <c r="IF50" s="22" t="s">
        <v>16</v>
      </c>
      <c r="IG50" s="22" t="s">
        <v>4</v>
      </c>
      <c r="IH50" s="22" t="s">
        <v>5</v>
      </c>
      <c r="II50" s="22" t="s">
        <v>6</v>
      </c>
      <c r="IJ50" s="22" t="s">
        <v>7</v>
      </c>
      <c r="IK50" s="22" t="s">
        <v>8</v>
      </c>
      <c r="IL50" s="22" t="s">
        <v>18</v>
      </c>
      <c r="IM50" s="22" t="s">
        <v>10</v>
      </c>
      <c r="IN50" s="22" t="s">
        <v>11</v>
      </c>
      <c r="IO50" s="22" t="s">
        <v>12</v>
      </c>
      <c r="IP50" s="22" t="s">
        <v>13</v>
      </c>
      <c r="IQ50" s="22" t="s">
        <v>14</v>
      </c>
      <c r="IR50" s="22" t="s">
        <v>3</v>
      </c>
      <c r="IS50" s="22" t="s">
        <v>4</v>
      </c>
      <c r="IT50" s="22" t="s">
        <v>5</v>
      </c>
      <c r="IU50" s="22" t="s">
        <v>15</v>
      </c>
      <c r="IV50" s="22" t="s">
        <v>7</v>
      </c>
      <c r="IW50" s="22" t="s">
        <v>8</v>
      </c>
      <c r="IX50" s="22" t="s">
        <v>18</v>
      </c>
      <c r="IY50" s="22" t="s">
        <v>10</v>
      </c>
      <c r="IZ50" s="22" t="s">
        <v>11</v>
      </c>
      <c r="JA50" s="22" t="s">
        <v>12</v>
      </c>
      <c r="JB50" s="22" t="s">
        <v>20</v>
      </c>
      <c r="JC50" s="22" t="s">
        <v>21</v>
      </c>
      <c r="JD50" s="22" t="s">
        <v>16</v>
      </c>
      <c r="JE50" s="22" t="s">
        <v>4</v>
      </c>
      <c r="JF50" s="22" t="s">
        <v>5</v>
      </c>
      <c r="JG50" s="22" t="s">
        <v>6</v>
      </c>
      <c r="JH50" s="22" t="s">
        <v>7</v>
      </c>
      <c r="JI50" s="22" t="s">
        <v>8</v>
      </c>
      <c r="JJ50" s="22" t="s">
        <v>9</v>
      </c>
      <c r="JK50" s="22" t="s">
        <v>10</v>
      </c>
      <c r="JL50" s="22" t="s">
        <v>11</v>
      </c>
      <c r="JM50" s="22" t="s">
        <v>12</v>
      </c>
      <c r="JN50" s="22" t="s">
        <v>20</v>
      </c>
      <c r="JO50" s="22" t="s">
        <v>21</v>
      </c>
      <c r="JP50" s="22" t="s">
        <v>22</v>
      </c>
      <c r="JQ50" s="22" t="s">
        <v>4</v>
      </c>
      <c r="JR50" s="22" t="s">
        <v>5</v>
      </c>
      <c r="JS50" s="22" t="s">
        <v>6</v>
      </c>
      <c r="JT50" s="22" t="s">
        <v>17</v>
      </c>
      <c r="JU50" s="22" t="s">
        <v>23</v>
      </c>
      <c r="JV50" s="22" t="s">
        <v>18</v>
      </c>
      <c r="JW50" s="22" t="s">
        <v>24</v>
      </c>
      <c r="JX50" s="22" t="s">
        <v>11</v>
      </c>
      <c r="JY50" s="22" t="s">
        <v>12</v>
      </c>
      <c r="JZ50" s="22" t="s">
        <v>13</v>
      </c>
      <c r="KA50" s="22" t="s">
        <v>14</v>
      </c>
      <c r="KB50" s="22" t="s">
        <v>22</v>
      </c>
      <c r="KC50" s="22" t="s">
        <v>4</v>
      </c>
      <c r="KD50" s="22" t="s">
        <v>5</v>
      </c>
      <c r="KE50" s="22" t="s">
        <v>6</v>
      </c>
      <c r="KF50" s="22" t="s">
        <v>17</v>
      </c>
      <c r="KG50" s="22" t="s">
        <v>8</v>
      </c>
      <c r="KH50" s="22" t="s">
        <v>18</v>
      </c>
      <c r="KI50" s="22" t="s">
        <v>10</v>
      </c>
      <c r="KJ50" s="22" t="s">
        <v>11</v>
      </c>
      <c r="KK50" s="22" t="s">
        <v>12</v>
      </c>
      <c r="KL50" s="22" t="s">
        <v>20</v>
      </c>
      <c r="KM50" s="22" t="s">
        <v>21</v>
      </c>
      <c r="KN50" s="22" t="s">
        <v>16</v>
      </c>
      <c r="KO50" s="22" t="s">
        <v>19</v>
      </c>
      <c r="KP50" s="22" t="s">
        <v>5</v>
      </c>
      <c r="KQ50" s="22" t="s">
        <v>6</v>
      </c>
      <c r="KR50" s="22" t="s">
        <v>7</v>
      </c>
      <c r="KS50" s="22" t="s">
        <v>8</v>
      </c>
      <c r="KT50" s="22" t="s">
        <v>18</v>
      </c>
      <c r="KU50" s="22" t="s">
        <v>24</v>
      </c>
      <c r="KV50" s="22" t="s">
        <v>11</v>
      </c>
      <c r="KW50" s="22" t="s">
        <v>12</v>
      </c>
      <c r="KX50" s="22" t="s">
        <v>20</v>
      </c>
      <c r="KY50" s="22" t="s">
        <v>14</v>
      </c>
      <c r="KZ50" s="22" t="s">
        <v>16</v>
      </c>
      <c r="LA50" s="22" t="s">
        <v>4</v>
      </c>
      <c r="LB50" s="22" t="s">
        <v>27</v>
      </c>
      <c r="LC50" s="22" t="s">
        <v>6</v>
      </c>
      <c r="LD50" s="22" t="s">
        <v>7</v>
      </c>
      <c r="LE50" s="22" t="s">
        <v>8</v>
      </c>
      <c r="LF50" s="22" t="s">
        <v>9</v>
      </c>
      <c r="LG50" s="22" t="s">
        <v>10</v>
      </c>
      <c r="LH50" s="22" t="s">
        <v>11</v>
      </c>
      <c r="LI50" s="22" t="s">
        <v>12</v>
      </c>
      <c r="LJ50" s="22" t="s">
        <v>20</v>
      </c>
      <c r="LK50" s="22" t="s">
        <v>14</v>
      </c>
      <c r="LL50" s="22" t="s">
        <v>22</v>
      </c>
      <c r="LM50" s="22" t="s">
        <v>19</v>
      </c>
      <c r="LN50" s="22" t="s">
        <v>5</v>
      </c>
      <c r="LO50" s="22" t="s">
        <v>15</v>
      </c>
      <c r="LP50" s="22" t="s">
        <v>7</v>
      </c>
      <c r="LQ50" s="22" t="s">
        <v>8</v>
      </c>
      <c r="LR50" s="22" t="s">
        <v>18</v>
      </c>
      <c r="LS50" s="22" t="s">
        <v>10</v>
      </c>
      <c r="LT50" s="22" t="s">
        <v>11</v>
      </c>
      <c r="LU50" s="22" t="s">
        <v>12</v>
      </c>
      <c r="LV50" s="22" t="s">
        <v>13</v>
      </c>
      <c r="LW50" s="22" t="s">
        <v>14</v>
      </c>
      <c r="LX50" s="22" t="s">
        <v>22</v>
      </c>
      <c r="LY50" s="22" t="s">
        <v>4</v>
      </c>
      <c r="LZ50" s="22" t="s">
        <v>5</v>
      </c>
      <c r="MA50" s="22" t="s">
        <v>6</v>
      </c>
      <c r="MB50" s="22" t="s">
        <v>17</v>
      </c>
      <c r="MC50" s="22" t="s">
        <v>8</v>
      </c>
      <c r="MD50" s="22" t="s">
        <v>18</v>
      </c>
      <c r="ME50" s="22" t="s">
        <v>24</v>
      </c>
      <c r="MF50" s="22" t="s">
        <v>11</v>
      </c>
      <c r="MG50" s="22" t="s">
        <v>101</v>
      </c>
      <c r="MH50" s="22" t="s">
        <v>20</v>
      </c>
      <c r="MI50" s="22" t="s">
        <v>14</v>
      </c>
      <c r="MJ50" s="22" t="s">
        <v>22</v>
      </c>
      <c r="MK50" s="22" t="s">
        <v>4</v>
      </c>
      <c r="ML50" s="22" t="s">
        <v>5</v>
      </c>
      <c r="MM50" s="22" t="s">
        <v>6</v>
      </c>
      <c r="MN50" s="22" t="s">
        <v>17</v>
      </c>
      <c r="MO50" s="22" t="s">
        <v>8</v>
      </c>
      <c r="MP50" s="22" t="s">
        <v>18</v>
      </c>
      <c r="MQ50" s="22" t="s">
        <v>24</v>
      </c>
      <c r="MR50" s="22" t="s">
        <v>11</v>
      </c>
      <c r="MS50" s="22" t="s">
        <v>12</v>
      </c>
      <c r="MT50" s="22" t="s">
        <v>20</v>
      </c>
      <c r="MU50" s="22" t="s">
        <v>14</v>
      </c>
      <c r="MV50" s="22" t="s">
        <v>22</v>
      </c>
      <c r="MW50" s="22" t="s">
        <v>4</v>
      </c>
      <c r="MX50" s="22" t="s">
        <v>5</v>
      </c>
      <c r="MY50" s="22" t="s">
        <v>6</v>
      </c>
      <c r="MZ50" s="22" t="s">
        <v>7</v>
      </c>
      <c r="NA50" s="22" t="s">
        <v>8</v>
      </c>
      <c r="NB50" s="22" t="s">
        <v>18</v>
      </c>
      <c r="NC50" s="22" t="s">
        <v>24</v>
      </c>
      <c r="ND50" s="22" t="s">
        <v>11</v>
      </c>
      <c r="NE50" s="22" t="s">
        <v>12</v>
      </c>
      <c r="NF50" s="22" t="s">
        <v>20</v>
      </c>
      <c r="NG50" s="22" t="s">
        <v>14</v>
      </c>
      <c r="NH50" s="22" t="s">
        <v>22</v>
      </c>
      <c r="NI50" s="22" t="s">
        <v>19</v>
      </c>
      <c r="NJ50" s="22" t="s">
        <v>27</v>
      </c>
      <c r="NK50" s="22" t="s">
        <v>6</v>
      </c>
      <c r="NL50" s="22" t="s">
        <v>7</v>
      </c>
      <c r="NM50" s="22" t="s">
        <v>8</v>
      </c>
      <c r="NN50" s="22" t="s">
        <v>9</v>
      </c>
      <c r="NO50" s="22" t="s">
        <v>10</v>
      </c>
      <c r="NP50" s="22" t="s">
        <v>11</v>
      </c>
      <c r="NQ50" s="22" t="s">
        <v>12</v>
      </c>
      <c r="NR50" s="22" t="s">
        <v>20</v>
      </c>
      <c r="NS50" s="22" t="s">
        <v>14</v>
      </c>
      <c r="NT50" s="22" t="s">
        <v>16</v>
      </c>
      <c r="NU50" s="22" t="s">
        <v>19</v>
      </c>
      <c r="NV50" s="22" t="s">
        <v>5</v>
      </c>
      <c r="NW50" s="22" t="s">
        <v>6</v>
      </c>
      <c r="NX50" s="22" t="s">
        <v>7</v>
      </c>
      <c r="NY50" s="22" t="s">
        <v>8</v>
      </c>
      <c r="NZ50" s="22" t="s">
        <v>18</v>
      </c>
      <c r="OA50" s="22" t="s">
        <v>24</v>
      </c>
      <c r="OB50" s="22" t="s">
        <v>11</v>
      </c>
      <c r="OC50" s="22" t="s">
        <v>12</v>
      </c>
      <c r="OD50" s="22" t="s">
        <v>13</v>
      </c>
      <c r="OE50" s="22" t="s">
        <v>14</v>
      </c>
      <c r="OF50" s="22" t="s">
        <v>16</v>
      </c>
      <c r="OG50" s="22" t="s">
        <v>4</v>
      </c>
      <c r="OH50" s="22" t="s">
        <v>5</v>
      </c>
      <c r="OI50" s="22" t="s">
        <v>15</v>
      </c>
      <c r="OJ50" s="22" t="s">
        <v>7</v>
      </c>
      <c r="OK50" s="22" t="s">
        <v>8</v>
      </c>
      <c r="OL50" s="22" t="s">
        <v>18</v>
      </c>
    </row>
    <row r="51" spans="1:402" s="145" customFormat="1" ht="19.5" customHeight="1" x14ac:dyDescent="0.35">
      <c r="A51" s="12"/>
      <c r="B51" s="151">
        <f>'[1]Sept 07'!H13</f>
        <v>0.9195057497656558</v>
      </c>
      <c r="C51" s="151">
        <f>'[1]Oct 07'!H13</f>
        <v>0.91673236759398835</v>
      </c>
      <c r="D51" s="151">
        <f>'[1]Nov 07'!H13</f>
        <v>0.91970120341550032</v>
      </c>
      <c r="E51" s="151">
        <f>'[1]Dec 07'!H13</f>
        <v>0.92368410306026927</v>
      </c>
      <c r="F51" s="151">
        <f>'[1]Jan 08'!H13</f>
        <v>0.91008271557788289</v>
      </c>
      <c r="G51" s="145">
        <f>'[1]Feb 08'!H13</f>
        <v>0.91678315046407965</v>
      </c>
      <c r="H51" s="145">
        <f>'[1]Mar 08'!H13</f>
        <v>0.93691116087791215</v>
      </c>
      <c r="I51" s="145">
        <v>0.92345628274940927</v>
      </c>
      <c r="J51" s="145">
        <f>'[1]May 08'!H13</f>
        <v>0.90724399275400924</v>
      </c>
      <c r="K51" s="145">
        <v>0.90700000000000003</v>
      </c>
      <c r="L51" s="145">
        <f>'[1]Jul 08'!H13</f>
        <v>0.91302122380170658</v>
      </c>
      <c r="M51" s="145">
        <f>'[1]Aug 08'!H13</f>
        <v>0.90289222696774241</v>
      </c>
      <c r="N51" s="145">
        <v>0.95499999999999996</v>
      </c>
      <c r="O51" s="145">
        <v>0.877</v>
      </c>
      <c r="P51" s="145">
        <v>0.91</v>
      </c>
      <c r="Q51" s="145">
        <v>0.91800000000000004</v>
      </c>
      <c r="R51" s="145">
        <v>0.90500000000000003</v>
      </c>
      <c r="S51" s="145">
        <v>0.89100000000000001</v>
      </c>
      <c r="T51" s="145">
        <v>0.89400000000000002</v>
      </c>
      <c r="U51" s="145">
        <v>0.88400000000000001</v>
      </c>
      <c r="V51" s="145">
        <v>0.91</v>
      </c>
      <c r="W51" s="145">
        <v>0.88800000000000001</v>
      </c>
      <c r="X51" s="145">
        <v>0.90600000000000003</v>
      </c>
      <c r="Y51" s="145">
        <v>0.88100000000000001</v>
      </c>
      <c r="Z51" s="145">
        <f>1121000/1193251</f>
        <v>0.93945029168213556</v>
      </c>
      <c r="AA51" s="145">
        <v>0.89600000000000002</v>
      </c>
      <c r="AB51" s="145">
        <v>0.91700000000000004</v>
      </c>
      <c r="AC51" s="145">
        <v>0.88300000000000001</v>
      </c>
      <c r="AD51" s="145">
        <v>0.89800000000000002</v>
      </c>
      <c r="AE51" s="145">
        <v>0.91</v>
      </c>
      <c r="AF51" s="145">
        <v>0.88900000000000001</v>
      </c>
      <c r="AG51" s="145">
        <v>0.876</v>
      </c>
      <c r="AH51" s="145">
        <v>0.89</v>
      </c>
      <c r="AI51" s="145">
        <v>0.89500000000000002</v>
      </c>
      <c r="AJ51" s="145">
        <v>0.88300000000000001</v>
      </c>
      <c r="AK51" s="145">
        <v>0.89500000000000002</v>
      </c>
      <c r="AL51" s="145">
        <v>0.91400000000000003</v>
      </c>
      <c r="AM51" s="145">
        <v>0.89200000000000002</v>
      </c>
      <c r="AN51" s="145">
        <v>0.92500000000000004</v>
      </c>
      <c r="AO51" s="145">
        <v>0.88400000000000001</v>
      </c>
      <c r="AP51" s="145">
        <v>0.93600000000000005</v>
      </c>
      <c r="AQ51" s="145">
        <v>0.875</v>
      </c>
      <c r="AR51" s="145">
        <v>0.91</v>
      </c>
      <c r="AS51" s="145">
        <v>0.92700000000000005</v>
      </c>
      <c r="AT51" s="145">
        <v>0.88500000000000001</v>
      </c>
      <c r="AU51" s="145">
        <v>0.91600000000000004</v>
      </c>
      <c r="AV51" s="145">
        <v>0.89400000000000002</v>
      </c>
      <c r="AW51" s="145">
        <f>1018338/1183445</f>
        <v>0.86048612314049233</v>
      </c>
      <c r="AX51" s="145">
        <v>0.93330000000000002</v>
      </c>
      <c r="AY51" s="145">
        <v>0.89500000000000002</v>
      </c>
      <c r="AZ51" s="145">
        <v>0.95199999999999996</v>
      </c>
      <c r="BA51" s="145">
        <v>0.94399999999999995</v>
      </c>
      <c r="BB51" s="145">
        <v>0.873</v>
      </c>
      <c r="BC51" s="145">
        <v>0.97</v>
      </c>
      <c r="BD51" s="145">
        <v>0.9</v>
      </c>
      <c r="BE51" s="145">
        <v>0.92400000000000004</v>
      </c>
      <c r="BF51" s="145">
        <v>0.91800000000000004</v>
      </c>
      <c r="BG51" s="145">
        <v>0.91300000000000003</v>
      </c>
      <c r="BH51" s="145">
        <v>0.92800000000000005</v>
      </c>
      <c r="BI51" s="145">
        <v>0.94899999999999995</v>
      </c>
      <c r="BJ51" s="145">
        <v>0.92700000000000005</v>
      </c>
      <c r="BK51" s="145">
        <v>0.94899999999999995</v>
      </c>
      <c r="BL51" s="145">
        <v>0.89500000000000002</v>
      </c>
      <c r="BM51" s="145">
        <v>0.93400000000000005</v>
      </c>
      <c r="BN51" s="145">
        <v>0.93</v>
      </c>
      <c r="BO51" s="145">
        <v>0.93300000000000005</v>
      </c>
      <c r="BP51" s="145">
        <v>0.92900000000000005</v>
      </c>
      <c r="BQ51" s="145">
        <v>0.94199999999999995</v>
      </c>
      <c r="BR51" s="145">
        <v>0.94399999999999995</v>
      </c>
      <c r="BS51" s="145">
        <v>0.93700000000000006</v>
      </c>
      <c r="BT51" s="145">
        <v>0.95099999999999996</v>
      </c>
      <c r="BU51" s="145">
        <v>0.95899999999999996</v>
      </c>
      <c r="BV51" s="145">
        <v>0.94499999999999995</v>
      </c>
      <c r="BW51" s="145">
        <v>0.95399999999999996</v>
      </c>
      <c r="BX51" s="145">
        <v>0.94499999999999995</v>
      </c>
      <c r="BY51" s="145">
        <v>0.94799999999999995</v>
      </c>
      <c r="BZ51" s="145">
        <v>0.97599999999999998</v>
      </c>
      <c r="CA51" s="145">
        <v>0.93799999999999994</v>
      </c>
      <c r="CB51" s="145">
        <v>0.94499999999999995</v>
      </c>
      <c r="CC51" s="145">
        <v>0.93500000000000005</v>
      </c>
      <c r="CD51" s="145">
        <v>0.94</v>
      </c>
      <c r="CE51" s="145">
        <v>0.94199999999999995</v>
      </c>
      <c r="CF51" s="145">
        <v>0.95299999999999996</v>
      </c>
      <c r="CG51" s="145">
        <v>0.96199999999999997</v>
      </c>
      <c r="CH51" s="145">
        <v>0.93799999999999994</v>
      </c>
      <c r="CI51" s="145">
        <v>0.95499999999999996</v>
      </c>
      <c r="CJ51" s="145">
        <v>0.96199999999999997</v>
      </c>
      <c r="CK51" s="145">
        <v>0.92700000000000005</v>
      </c>
      <c r="CL51" s="145">
        <v>0.91400000000000003</v>
      </c>
      <c r="CM51" s="145">
        <v>0.94</v>
      </c>
      <c r="CN51" s="145">
        <v>0.93600000000000005</v>
      </c>
      <c r="CO51" s="145">
        <v>0.94299999999999995</v>
      </c>
      <c r="CP51" s="145">
        <v>0.93899999999999995</v>
      </c>
      <c r="CQ51" s="145">
        <v>0.94399999999999995</v>
      </c>
      <c r="CR51" s="145">
        <v>0.97</v>
      </c>
      <c r="CS51" s="145">
        <v>0.94</v>
      </c>
      <c r="CT51" s="145">
        <v>0.93100000000000005</v>
      </c>
      <c r="CU51" s="145">
        <v>0.93600000000000005</v>
      </c>
      <c r="CV51" s="145">
        <v>0.93799999999999994</v>
      </c>
      <c r="CW51" s="145">
        <v>0.94399999999999995</v>
      </c>
      <c r="CX51" s="145">
        <v>0.93899999999999995</v>
      </c>
      <c r="CY51" s="145">
        <v>0.94699999999999995</v>
      </c>
      <c r="CZ51" s="145">
        <v>0.94</v>
      </c>
      <c r="DA51" s="145">
        <v>0.94199999999999995</v>
      </c>
      <c r="DB51" s="145">
        <v>0.95199999999999996</v>
      </c>
      <c r="DC51" s="145">
        <v>0.94099999999999995</v>
      </c>
      <c r="DD51" s="145">
        <v>0.94</v>
      </c>
      <c r="DE51" s="145">
        <v>0.93600000000000005</v>
      </c>
      <c r="DF51" s="145">
        <v>0.93600000000000005</v>
      </c>
      <c r="DG51" s="145">
        <v>0.95899999999999996</v>
      </c>
      <c r="DH51" s="145">
        <v>0.95799999999999996</v>
      </c>
      <c r="DI51" s="145">
        <v>0.93400000000000005</v>
      </c>
      <c r="DJ51" s="145">
        <v>0.94499999999999995</v>
      </c>
      <c r="DK51" s="145">
        <v>0.95</v>
      </c>
      <c r="DL51" s="145">
        <v>0.93600000000000005</v>
      </c>
      <c r="DM51" s="145">
        <v>0.94499999999999995</v>
      </c>
      <c r="DN51" s="145">
        <v>0.93899999999999995</v>
      </c>
      <c r="DO51" s="145">
        <v>0.95499999999999996</v>
      </c>
      <c r="DP51" s="145">
        <v>0.92300000000000004</v>
      </c>
      <c r="DQ51" s="145">
        <v>0.96099999999999997</v>
      </c>
      <c r="DR51" s="145">
        <v>0.94799999999999995</v>
      </c>
      <c r="DS51" s="145">
        <v>0.95199999999999996</v>
      </c>
      <c r="DT51" s="145">
        <v>0.93899999999999995</v>
      </c>
      <c r="DU51" s="145">
        <v>0.95299999999999996</v>
      </c>
      <c r="DV51" s="145">
        <v>0.93899999999999995</v>
      </c>
      <c r="DW51" s="145">
        <v>0.94399999999999995</v>
      </c>
      <c r="DX51" s="145">
        <v>0.95</v>
      </c>
      <c r="DY51" s="145">
        <v>0.94699999999999995</v>
      </c>
      <c r="DZ51" s="145">
        <v>0.95499999999999996</v>
      </c>
      <c r="EA51" s="145">
        <v>0.95399999999999996</v>
      </c>
      <c r="EB51" s="145">
        <v>0.94299999999999995</v>
      </c>
      <c r="EC51" s="145">
        <v>0.94099999999999995</v>
      </c>
      <c r="ED51" s="145">
        <v>0.95199999999999996</v>
      </c>
      <c r="EE51" s="145">
        <v>0.95899999999999996</v>
      </c>
      <c r="EF51" s="145">
        <v>0.94399999999999995</v>
      </c>
      <c r="EG51" s="145">
        <v>0.95</v>
      </c>
      <c r="EH51" s="145">
        <v>0.96699999999999997</v>
      </c>
      <c r="EI51" s="145">
        <v>0.94399999999999995</v>
      </c>
      <c r="EJ51" s="145">
        <v>0.95699999999999996</v>
      </c>
      <c r="EK51" s="145">
        <v>0.95399999999999996</v>
      </c>
      <c r="EL51" s="145">
        <v>0.96099999999999997</v>
      </c>
      <c r="EM51" s="145">
        <v>0.95199999999999996</v>
      </c>
      <c r="EN51" s="145">
        <v>0.95599999999999996</v>
      </c>
      <c r="EO51" s="145">
        <v>0.94199999999999995</v>
      </c>
      <c r="EP51" s="145">
        <v>0.95399999999999996</v>
      </c>
      <c r="EQ51" s="145">
        <v>0.95799999999999996</v>
      </c>
      <c r="ER51" s="145">
        <v>0.96299999999999997</v>
      </c>
      <c r="ES51" s="145">
        <v>0.95699999999999996</v>
      </c>
      <c r="ET51" s="145">
        <v>0.92400000000000004</v>
      </c>
      <c r="EU51" s="145">
        <v>0.96399999999999997</v>
      </c>
      <c r="EV51" s="145">
        <v>0.95699999999999996</v>
      </c>
      <c r="EW51" s="145">
        <v>0.93600000000000005</v>
      </c>
      <c r="EX51" s="145">
        <v>0.94499999999999995</v>
      </c>
      <c r="EY51" s="145">
        <v>0.93899999999999995</v>
      </c>
      <c r="EZ51" s="145">
        <v>0.96199999999999997</v>
      </c>
      <c r="FA51" s="145">
        <v>0.96</v>
      </c>
      <c r="FB51" s="145">
        <v>0.97099999999999997</v>
      </c>
      <c r="FC51" s="145">
        <v>0.96799999999999997</v>
      </c>
      <c r="FD51" s="145">
        <v>0.98099999999999998</v>
      </c>
      <c r="FE51" s="145">
        <v>0.96599999999999997</v>
      </c>
      <c r="FF51" s="145">
        <v>0.97099999999999997</v>
      </c>
      <c r="FG51" s="145">
        <v>0.97799999999999998</v>
      </c>
      <c r="FH51" s="145">
        <v>0.996</v>
      </c>
      <c r="FI51" s="145">
        <v>1.008</v>
      </c>
      <c r="FJ51" s="145">
        <v>1.0009999999999999</v>
      </c>
      <c r="FK51" s="145">
        <v>1.0009999999999999</v>
      </c>
      <c r="FL51" s="145">
        <v>1</v>
      </c>
      <c r="FM51" s="145">
        <v>0.99099999999999999</v>
      </c>
      <c r="FN51" s="145">
        <v>0.99299999999999999</v>
      </c>
      <c r="FO51" s="145">
        <v>0.98899999999999999</v>
      </c>
      <c r="FP51" s="145">
        <v>0.97399999999999998</v>
      </c>
      <c r="FQ51" s="145">
        <v>0.995</v>
      </c>
      <c r="FR51" s="145">
        <v>0.998</v>
      </c>
      <c r="FS51" s="145">
        <v>1.018</v>
      </c>
      <c r="FT51" s="145">
        <v>1.0349999999999999</v>
      </c>
      <c r="FU51" s="145">
        <v>1.044</v>
      </c>
      <c r="FV51" s="145">
        <v>1.0269999999999999</v>
      </c>
      <c r="FW51" s="145">
        <v>0.98799999999999999</v>
      </c>
      <c r="FX51" s="145">
        <v>0.97399999999999998</v>
      </c>
      <c r="FY51" s="145">
        <v>0.94899999999999995</v>
      </c>
      <c r="FZ51" s="145">
        <v>0.96</v>
      </c>
      <c r="GA51" s="145">
        <v>0.95399999999999996</v>
      </c>
      <c r="GB51" s="145">
        <v>0.94799999999999995</v>
      </c>
      <c r="GC51" s="145">
        <v>0.94499999999999995</v>
      </c>
      <c r="GD51" s="145">
        <v>0.96099999999999997</v>
      </c>
      <c r="GE51" s="145">
        <v>0.96599999999999997</v>
      </c>
      <c r="GF51" s="145">
        <v>0.95899999999999996</v>
      </c>
      <c r="GG51" s="145">
        <v>0.96199999999999997</v>
      </c>
      <c r="GH51" s="145">
        <v>0.95799999999999996</v>
      </c>
      <c r="GI51" s="145">
        <v>0.96499999999999997</v>
      </c>
      <c r="GJ51" s="145">
        <v>0.96699999999999997</v>
      </c>
      <c r="GK51" s="145">
        <v>0.96899999999999997</v>
      </c>
      <c r="GL51" s="145">
        <v>0.97199999999999998</v>
      </c>
      <c r="GM51" s="145">
        <v>0.96499999999999997</v>
      </c>
      <c r="GN51" s="145">
        <v>0.96599999999999997</v>
      </c>
      <c r="GO51" s="145">
        <v>0.96099999999999997</v>
      </c>
      <c r="GP51" s="145">
        <v>0.96</v>
      </c>
      <c r="GQ51" s="145">
        <v>0.96699999999999997</v>
      </c>
      <c r="GR51" s="145">
        <v>0.97</v>
      </c>
      <c r="GS51" s="144"/>
      <c r="GT51" s="152"/>
      <c r="GU51" s="152"/>
      <c r="GV51" s="151">
        <f>'[1]Sept 07'!H15</f>
        <v>3.4426229508196723E-2</v>
      </c>
      <c r="GW51" s="151">
        <f>'[1]Oct 07'!H15</f>
        <v>3.968253968253968E-2</v>
      </c>
      <c r="GX51" s="151">
        <f>'[1]Nov 07'!H15</f>
        <v>4.3478260869565216E-2</v>
      </c>
      <c r="GY51" s="151">
        <f>'[1]Dec 07'!H15</f>
        <v>4.642857142857143E-2</v>
      </c>
      <c r="GZ51" s="145">
        <f>'[1]Jan 08'!H15</f>
        <v>3.3070866141732283E-2</v>
      </c>
      <c r="HA51" s="145">
        <f>'[1]Feb 08'!H15</f>
        <v>2.9874213836477988E-2</v>
      </c>
      <c r="HB51" s="145">
        <f>'[1]Mar 08'!H15</f>
        <v>3.7676609105180531E-2</v>
      </c>
      <c r="HC51" s="145">
        <v>3.8216560509554139E-2</v>
      </c>
      <c r="HD51" s="145">
        <f>'[1]May 08'!H15</f>
        <v>4.3973941368078175E-2</v>
      </c>
      <c r="HE51" s="145">
        <f>'[1]Jun 08'!H15</f>
        <v>5.3726169844020795E-2</v>
      </c>
      <c r="HF51" s="145">
        <f>'[1]Jul 08'!H15</f>
        <v>4.4198895027624308E-2</v>
      </c>
      <c r="HG51" s="145">
        <v>3.4000000000000002E-2</v>
      </c>
      <c r="HH51" s="145">
        <v>3.3000000000000002E-2</v>
      </c>
      <c r="HI51" s="145">
        <v>2.5999999999999999E-2</v>
      </c>
      <c r="HJ51" s="145">
        <v>1.0999999999999999E-2</v>
      </c>
      <c r="HK51" s="145">
        <v>3.1E-2</v>
      </c>
      <c r="HL51" s="145">
        <v>1.4E-2</v>
      </c>
      <c r="HM51" s="145">
        <v>2.5999999999999999E-2</v>
      </c>
      <c r="HN51" s="145">
        <v>2.1999999999999999E-2</v>
      </c>
      <c r="HO51" s="145">
        <v>4.8000000000000001E-2</v>
      </c>
      <c r="HP51" s="145">
        <v>4.7E-2</v>
      </c>
      <c r="HQ51" s="145">
        <v>7.2999999999999995E-2</v>
      </c>
      <c r="HR51" s="145">
        <v>4.8000000000000001E-2</v>
      </c>
      <c r="HS51" s="145">
        <v>5.7000000000000002E-2</v>
      </c>
      <c r="HT51" s="145">
        <v>7.5999999999999998E-2</v>
      </c>
      <c r="HU51" s="145">
        <v>5.3999999999999999E-2</v>
      </c>
      <c r="HV51" s="145">
        <v>5.6000000000000001E-2</v>
      </c>
      <c r="HW51" s="145">
        <v>5.2999999999999999E-2</v>
      </c>
      <c r="HX51" s="145">
        <v>4.5999999999999999E-2</v>
      </c>
      <c r="HY51" s="145">
        <v>0.04</v>
      </c>
      <c r="HZ51" s="145">
        <v>6.5000000000000002E-2</v>
      </c>
      <c r="IA51" s="145">
        <v>3.1E-2</v>
      </c>
      <c r="IB51" s="145">
        <v>6.7000000000000004E-2</v>
      </c>
      <c r="IC51" s="145">
        <v>0.108</v>
      </c>
      <c r="ID51" s="145">
        <v>6.9000000000000006E-2</v>
      </c>
      <c r="IE51" s="145">
        <v>6.9000000000000006E-2</v>
      </c>
      <c r="IF51" s="145">
        <v>3.9E-2</v>
      </c>
      <c r="IG51" s="145">
        <v>3.6999999999999998E-2</v>
      </c>
      <c r="IH51" s="145">
        <v>7.0000000000000007E-2</v>
      </c>
      <c r="II51" s="145">
        <v>9.7000000000000003E-2</v>
      </c>
      <c r="IJ51" s="145">
        <v>4.9000000000000002E-2</v>
      </c>
      <c r="IK51" s="145">
        <v>6.3E-2</v>
      </c>
      <c r="IL51" s="145">
        <v>0.108</v>
      </c>
      <c r="IM51" s="145">
        <v>0.11700000000000001</v>
      </c>
      <c r="IN51" s="145">
        <v>0.11</v>
      </c>
      <c r="IO51" s="145">
        <v>0.158</v>
      </c>
      <c r="IP51" s="145">
        <v>0.12</v>
      </c>
      <c r="IQ51" s="145">
        <v>4.3999999999999997E-2</v>
      </c>
      <c r="IR51" s="145">
        <v>5.8000000000000003E-2</v>
      </c>
      <c r="IS51" s="145">
        <v>8.5000000000000006E-2</v>
      </c>
      <c r="IT51" s="145">
        <v>8.8999999999999996E-2</v>
      </c>
      <c r="IU51" s="145">
        <v>9.5000000000000001E-2</v>
      </c>
      <c r="IV51" s="145">
        <v>6.7000000000000004E-2</v>
      </c>
      <c r="IW51" s="145">
        <v>5.6000000000000001E-2</v>
      </c>
      <c r="IX51" s="145">
        <v>0.109</v>
      </c>
      <c r="IY51" s="145">
        <v>0.153</v>
      </c>
      <c r="IZ51" s="145">
        <v>0.156</v>
      </c>
      <c r="JA51" s="145">
        <v>0.19500000000000001</v>
      </c>
      <c r="JB51" s="145">
        <v>0.11600000000000001</v>
      </c>
      <c r="JC51" s="145">
        <v>0.115</v>
      </c>
      <c r="JD51" s="145">
        <v>0.122</v>
      </c>
      <c r="JE51" s="145">
        <v>0.104</v>
      </c>
      <c r="JF51" s="145">
        <v>0.124</v>
      </c>
      <c r="JG51" s="145">
        <v>0.121</v>
      </c>
      <c r="JH51" s="145">
        <v>7.0000000000000007E-2</v>
      </c>
      <c r="JI51" s="145">
        <v>9.2999999999999999E-2</v>
      </c>
      <c r="JJ51" s="145">
        <v>0.125</v>
      </c>
      <c r="JK51" s="145">
        <v>0.17</v>
      </c>
      <c r="JL51" s="145">
        <v>0.20399999999999999</v>
      </c>
      <c r="JM51" s="145">
        <v>0.156</v>
      </c>
      <c r="JN51" s="145">
        <v>0.19500000000000001</v>
      </c>
      <c r="JO51" s="145">
        <v>0.16500000000000001</v>
      </c>
      <c r="JP51" s="145">
        <v>0.13600000000000001</v>
      </c>
      <c r="JQ51" s="145">
        <v>0.108</v>
      </c>
      <c r="JR51" s="145">
        <v>9.2999999999999999E-2</v>
      </c>
      <c r="JS51" s="145">
        <v>0.113</v>
      </c>
      <c r="JT51" s="145">
        <v>3.6999999999999998E-2</v>
      </c>
      <c r="JU51" s="145">
        <v>7.5999999999999998E-2</v>
      </c>
      <c r="JV51" s="145">
        <v>0.13100000000000001</v>
      </c>
      <c r="JW51" s="145">
        <v>0.14799999999999999</v>
      </c>
      <c r="JX51" s="145">
        <v>0.159</v>
      </c>
      <c r="JY51" s="145">
        <v>0.16500000000000001</v>
      </c>
      <c r="JZ51" s="145">
        <v>0.122</v>
      </c>
      <c r="KA51" s="145">
        <v>6.9000000000000006E-2</v>
      </c>
      <c r="KB51" s="145">
        <v>6.7000000000000004E-2</v>
      </c>
      <c r="KC51" s="145">
        <v>8.5999999999999993E-2</v>
      </c>
      <c r="KD51" s="145">
        <v>5.6000000000000001E-2</v>
      </c>
      <c r="KE51" s="145">
        <v>8.2000000000000003E-2</v>
      </c>
      <c r="KF51" s="145">
        <v>6.8000000000000005E-2</v>
      </c>
      <c r="KG51" s="145">
        <v>8.1000000000000003E-2</v>
      </c>
      <c r="KH51" s="145">
        <v>9.5000000000000001E-2</v>
      </c>
      <c r="KI51" s="145">
        <v>0.13700000000000001</v>
      </c>
      <c r="KJ51" s="145">
        <v>0.11</v>
      </c>
      <c r="KK51" s="145">
        <v>0.13500000000000001</v>
      </c>
      <c r="KL51" s="145">
        <v>5.1999999999999998E-2</v>
      </c>
      <c r="KM51" s="145">
        <v>9.5000000000000001E-2</v>
      </c>
      <c r="KN51" s="145">
        <v>8.6999999999999994E-2</v>
      </c>
      <c r="KO51" s="145">
        <v>6.6000000000000003E-2</v>
      </c>
      <c r="KP51" s="145">
        <v>6.3E-2</v>
      </c>
      <c r="KQ51" s="145">
        <v>9.7000000000000003E-2</v>
      </c>
      <c r="KR51" s="145">
        <v>4.7E-2</v>
      </c>
      <c r="KS51" s="145">
        <v>7.2999999999999995E-2</v>
      </c>
      <c r="KT51" s="145">
        <v>8.4000000000000005E-2</v>
      </c>
      <c r="KU51" s="145">
        <v>6.7000000000000004E-2</v>
      </c>
      <c r="KV51" s="145">
        <v>7.9000000000000001E-2</v>
      </c>
      <c r="KW51" s="145">
        <v>0.14399999999999999</v>
      </c>
      <c r="KX51" s="145">
        <v>5.8000000000000003E-2</v>
      </c>
      <c r="KY51" s="145">
        <v>0.121</v>
      </c>
      <c r="KZ51" s="145">
        <v>9.7000000000000003E-2</v>
      </c>
      <c r="LA51" s="145">
        <v>8.1000000000000003E-2</v>
      </c>
      <c r="LB51" s="145">
        <v>8.5000000000000006E-2</v>
      </c>
      <c r="LC51" s="145">
        <v>0.111</v>
      </c>
      <c r="LD51" s="145">
        <v>7.5999999999999998E-2</v>
      </c>
      <c r="LE51" s="145">
        <v>6.3E-2</v>
      </c>
      <c r="LF51" s="145">
        <v>8.4000000000000005E-2</v>
      </c>
      <c r="LG51" s="145">
        <v>0.1</v>
      </c>
      <c r="LH51" s="145">
        <v>0.114</v>
      </c>
      <c r="LI51" s="145">
        <v>0.19</v>
      </c>
      <c r="LJ51" s="145">
        <v>0.13400000000000001</v>
      </c>
      <c r="LK51" s="145">
        <v>0.13</v>
      </c>
      <c r="LL51" s="145">
        <v>0.14799999999999999</v>
      </c>
      <c r="LM51" s="145">
        <v>0.10100000000000001</v>
      </c>
      <c r="LN51" s="145">
        <v>9.4E-2</v>
      </c>
      <c r="LO51" s="145">
        <v>9.4E-2</v>
      </c>
      <c r="LP51" s="145">
        <v>0.10299999999999999</v>
      </c>
      <c r="LQ51" s="145">
        <v>0.10199999999999999</v>
      </c>
      <c r="LR51" s="145">
        <v>0.16300000000000001</v>
      </c>
      <c r="LS51" s="145">
        <v>0.18</v>
      </c>
      <c r="LT51" s="145">
        <v>0.216</v>
      </c>
      <c r="LU51" s="145">
        <v>0.247</v>
      </c>
      <c r="LV51" s="145">
        <v>0.20200000000000001</v>
      </c>
      <c r="LW51" s="145">
        <v>0.189</v>
      </c>
      <c r="LX51" s="145">
        <v>0.11700000000000001</v>
      </c>
      <c r="LY51" s="145">
        <v>0.11700000000000001</v>
      </c>
      <c r="LZ51" s="145">
        <v>0.123</v>
      </c>
      <c r="MA51" s="145">
        <v>0.151</v>
      </c>
      <c r="MB51" s="145">
        <v>0.106</v>
      </c>
      <c r="MC51" s="145">
        <v>0.12</v>
      </c>
      <c r="MD51" s="145">
        <v>0.127</v>
      </c>
      <c r="ME51" s="145">
        <v>0.182</v>
      </c>
      <c r="MF51" s="145">
        <v>0.223</v>
      </c>
      <c r="MG51" s="145">
        <v>0.20799999999999999</v>
      </c>
      <c r="MH51" s="145">
        <v>0.187</v>
      </c>
      <c r="MI51" s="145">
        <v>0.13200000000000001</v>
      </c>
      <c r="MJ51" s="145">
        <v>0.15</v>
      </c>
      <c r="MK51" s="145">
        <v>0.13200000000000001</v>
      </c>
      <c r="ML51" s="145">
        <v>0.185</v>
      </c>
      <c r="MM51" s="145">
        <v>0.254</v>
      </c>
      <c r="MN51" s="145">
        <v>0.10299999999999999</v>
      </c>
      <c r="MO51" s="145">
        <v>0.251</v>
      </c>
      <c r="MP51" s="145">
        <v>0.28999999999999998</v>
      </c>
      <c r="MQ51" s="145">
        <v>0.223</v>
      </c>
      <c r="MR51" s="145">
        <v>0.16500000000000001</v>
      </c>
      <c r="MS51" s="145">
        <v>0.373</v>
      </c>
      <c r="MT51" s="145">
        <v>0.57699999999999996</v>
      </c>
      <c r="MU51" s="145">
        <v>0.57899999999999996</v>
      </c>
      <c r="MV51" s="145">
        <v>0.61799999999999999</v>
      </c>
      <c r="MW51" s="145">
        <v>0.70099999999999996</v>
      </c>
      <c r="MX51" s="145">
        <v>0.71899999999999997</v>
      </c>
      <c r="MY51" s="145">
        <v>1.5629999999999999</v>
      </c>
      <c r="MZ51" s="145">
        <v>1.119</v>
      </c>
      <c r="NA51" s="145">
        <v>1.96</v>
      </c>
      <c r="NB51" s="145">
        <v>2.1349999999999998</v>
      </c>
      <c r="NC51" s="145">
        <v>1.93</v>
      </c>
      <c r="ND51" s="145">
        <v>2.016</v>
      </c>
      <c r="NE51" s="145">
        <v>1.397</v>
      </c>
      <c r="NF51" s="145">
        <v>1.1160000000000001</v>
      </c>
      <c r="NG51" s="145">
        <v>1</v>
      </c>
      <c r="NH51" s="145">
        <v>1.361</v>
      </c>
      <c r="NI51" s="145">
        <v>1.1000000000000001</v>
      </c>
      <c r="NJ51" s="145">
        <v>1.8520000000000001</v>
      </c>
      <c r="NK51" s="145">
        <v>1.8520000000000001</v>
      </c>
      <c r="NL51" s="145">
        <v>1.732</v>
      </c>
      <c r="NM51" s="145">
        <v>2.1840000000000002</v>
      </c>
      <c r="NN51" s="145">
        <v>2.1749999999999998</v>
      </c>
      <c r="NO51" s="145">
        <v>1.341</v>
      </c>
      <c r="NP51" s="145">
        <v>0.745</v>
      </c>
      <c r="NQ51" s="145">
        <v>0.52300000000000002</v>
      </c>
      <c r="NR51" s="145">
        <v>0.28999999999999998</v>
      </c>
      <c r="NS51" s="145">
        <v>0.22600000000000001</v>
      </c>
      <c r="NT51" s="145">
        <v>0.254</v>
      </c>
      <c r="NU51" s="145">
        <v>0.26800000000000002</v>
      </c>
      <c r="NV51" s="145">
        <v>0.21299999999999999</v>
      </c>
      <c r="NW51" s="145">
        <v>0.18</v>
      </c>
      <c r="NX51" s="145">
        <v>0.157</v>
      </c>
      <c r="NY51" s="145">
        <v>0.32600000000000001</v>
      </c>
      <c r="NZ51" s="145">
        <v>0.48299999999999998</v>
      </c>
      <c r="OA51" s="145">
        <v>0.36499999999999999</v>
      </c>
      <c r="OB51" s="145">
        <v>0.67900000000000005</v>
      </c>
      <c r="OC51" s="145">
        <v>0.66</v>
      </c>
      <c r="OD51" s="145">
        <v>0.52200000000000002</v>
      </c>
      <c r="OE51" s="145">
        <v>0.497</v>
      </c>
      <c r="OF51" s="145">
        <v>0.33700000000000002</v>
      </c>
      <c r="OG51" s="145">
        <v>0.30199999999999999</v>
      </c>
      <c r="OH51" s="145">
        <v>0.311</v>
      </c>
      <c r="OI51" s="145">
        <v>0.20899999999999999</v>
      </c>
      <c r="OJ51" s="145">
        <v>0.20799999999999999</v>
      </c>
      <c r="OK51" s="145">
        <v>0.28699999999999998</v>
      </c>
      <c r="OL51" s="145">
        <v>0.28199999999999997</v>
      </c>
    </row>
    <row r="52" spans="1:402" ht="15" thickBot="1" x14ac:dyDescent="0.4">
      <c r="A52" s="28" t="s">
        <v>42</v>
      </c>
      <c r="B52" s="5"/>
      <c r="C52" s="5"/>
      <c r="D52" s="5"/>
      <c r="E52" s="5"/>
      <c r="F52" s="5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5"/>
      <c r="GU52" s="5"/>
      <c r="GV52" s="5"/>
      <c r="GW52" s="5"/>
      <c r="GX52" s="5"/>
      <c r="GY52" s="5"/>
      <c r="GZ52" s="6"/>
      <c r="HA52" s="6"/>
      <c r="HB52" s="6"/>
      <c r="HC52" s="6"/>
      <c r="HD52" s="6"/>
      <c r="HE52" s="6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</row>
    <row r="53" spans="1:402" ht="30" customHeight="1" x14ac:dyDescent="0.35">
      <c r="A53" s="1" t="s">
        <v>43</v>
      </c>
    </row>
    <row r="54" spans="1:402" ht="19.5" customHeight="1" x14ac:dyDescent="0.4">
      <c r="A54" s="8" t="s">
        <v>46</v>
      </c>
      <c r="B54" s="9"/>
      <c r="C54" s="9"/>
      <c r="D54" s="9"/>
      <c r="E54" s="9"/>
      <c r="F54" s="9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9"/>
      <c r="GU54" s="9"/>
      <c r="GV54" s="9"/>
      <c r="GW54" s="9"/>
      <c r="GX54" s="9"/>
      <c r="GY54" s="9"/>
      <c r="GZ54" s="38"/>
      <c r="HA54" s="38"/>
      <c r="HB54" s="38"/>
      <c r="HC54" s="38"/>
      <c r="HD54" s="38"/>
      <c r="HE54" s="38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</row>
    <row r="55" spans="1:402" ht="16" thickBot="1" x14ac:dyDescent="0.4">
      <c r="A55" s="12" t="s">
        <v>47</v>
      </c>
      <c r="GU55" s="12" t="s">
        <v>2</v>
      </c>
    </row>
    <row r="56" spans="1:402" x14ac:dyDescent="0.35">
      <c r="B56" s="13">
        <v>2007</v>
      </c>
      <c r="C56" s="13"/>
      <c r="D56" s="13"/>
      <c r="E56" s="14"/>
      <c r="F56" s="15">
        <v>2008</v>
      </c>
      <c r="G56" s="16"/>
      <c r="H56" s="17"/>
      <c r="I56" s="16"/>
      <c r="J56" s="16"/>
      <c r="K56" s="16"/>
      <c r="L56" s="18"/>
      <c r="M56" s="18"/>
      <c r="N56" s="18"/>
      <c r="O56" s="18"/>
      <c r="P56" s="18"/>
      <c r="Q56" s="18"/>
      <c r="R56" s="19">
        <v>2009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>
        <v>2010</v>
      </c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6">
        <v>2011</v>
      </c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9">
        <v>2012</v>
      </c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>
        <v>2013</v>
      </c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6">
        <v>2014</v>
      </c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6">
        <v>2015</v>
      </c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9">
        <v>2016</v>
      </c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>
        <v>2017</v>
      </c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6">
        <v>2018</v>
      </c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>
        <v>2019</v>
      </c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>
        <v>2020</v>
      </c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>
        <v>2021</v>
      </c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6">
        <v>2022</v>
      </c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>
        <v>2023</v>
      </c>
      <c r="GE56" s="19"/>
      <c r="GF56" s="19"/>
      <c r="GG56" s="19">
        <v>2023</v>
      </c>
      <c r="GH56" s="19"/>
      <c r="GI56" s="19"/>
      <c r="GJ56" s="19"/>
      <c r="GK56" s="19"/>
      <c r="GL56" s="19"/>
      <c r="GM56" s="19"/>
      <c r="GN56" s="19"/>
      <c r="GO56" s="19"/>
      <c r="GP56" s="19">
        <v>2024</v>
      </c>
      <c r="GQ56" s="19"/>
      <c r="GR56" s="19"/>
      <c r="GS56" s="19"/>
      <c r="GV56" s="13">
        <v>2007</v>
      </c>
      <c r="GW56" s="13"/>
      <c r="GX56" s="13"/>
      <c r="GY56" s="14"/>
      <c r="GZ56" s="15">
        <v>2008</v>
      </c>
      <c r="HA56" s="16"/>
      <c r="HB56" s="17"/>
      <c r="HC56" s="16"/>
      <c r="HD56" s="16"/>
      <c r="HE56" s="16"/>
      <c r="HF56" s="18"/>
      <c r="HG56" s="18"/>
      <c r="HH56" s="18"/>
      <c r="HI56" s="18"/>
      <c r="HJ56" s="18"/>
      <c r="HK56" s="18"/>
      <c r="HL56" s="19">
        <v>2009</v>
      </c>
      <c r="HM56" s="19"/>
      <c r="HN56" s="19"/>
      <c r="HO56" s="19"/>
      <c r="HP56" s="19"/>
      <c r="HQ56" s="19"/>
      <c r="HR56" s="19"/>
      <c r="HS56" s="19"/>
      <c r="HT56" s="19"/>
      <c r="HU56" s="46"/>
      <c r="HV56" s="46"/>
      <c r="HW56" s="46"/>
      <c r="HX56" s="19">
        <v>2010</v>
      </c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>
        <v>2011</v>
      </c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>
        <v>2012</v>
      </c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>
        <v>2013</v>
      </c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>
        <v>2014</v>
      </c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>
        <v>2015</v>
      </c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>
        <v>2016</v>
      </c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>
        <v>2017</v>
      </c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>
        <v>2018</v>
      </c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>
        <v>2019</v>
      </c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>
        <v>2020</v>
      </c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>
        <v>2021</v>
      </c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>
        <v>2022</v>
      </c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>
        <v>2023</v>
      </c>
      <c r="NY56" s="19"/>
      <c r="NZ56" s="19"/>
      <c r="OA56" s="19">
        <v>2023</v>
      </c>
      <c r="OB56" s="19"/>
      <c r="OC56" s="19"/>
      <c r="OD56" s="19"/>
      <c r="OE56" s="19"/>
      <c r="OF56" s="19"/>
      <c r="OG56" s="19"/>
      <c r="OH56" s="19"/>
      <c r="OI56" s="19"/>
      <c r="OJ56" s="19">
        <v>2024</v>
      </c>
      <c r="OK56" s="19"/>
      <c r="OL56" s="19"/>
    </row>
    <row r="57" spans="1:402" x14ac:dyDescent="0.35">
      <c r="B57" s="20" t="s">
        <v>3</v>
      </c>
      <c r="C57" s="20" t="s">
        <v>4</v>
      </c>
      <c r="D57" s="20" t="s">
        <v>5</v>
      </c>
      <c r="E57" s="20" t="s">
        <v>6</v>
      </c>
      <c r="F57" s="20" t="s">
        <v>7</v>
      </c>
      <c r="G57" s="20" t="s">
        <v>8</v>
      </c>
      <c r="H57" s="20" t="s">
        <v>9</v>
      </c>
      <c r="I57" s="20" t="s">
        <v>10</v>
      </c>
      <c r="J57" s="20" t="s">
        <v>11</v>
      </c>
      <c r="K57" s="20" t="s">
        <v>12</v>
      </c>
      <c r="L57" s="20" t="s">
        <v>13</v>
      </c>
      <c r="M57" s="20" t="s">
        <v>14</v>
      </c>
      <c r="N57" s="20" t="s">
        <v>3</v>
      </c>
      <c r="O57" s="20" t="s">
        <v>4</v>
      </c>
      <c r="P57" s="20" t="s">
        <v>5</v>
      </c>
      <c r="Q57" s="20" t="s">
        <v>15</v>
      </c>
      <c r="R57" s="22" t="s">
        <v>7</v>
      </c>
      <c r="S57" s="22" t="s">
        <v>8</v>
      </c>
      <c r="T57" s="22" t="s">
        <v>9</v>
      </c>
      <c r="U57" s="22" t="s">
        <v>10</v>
      </c>
      <c r="V57" s="22" t="s">
        <v>11</v>
      </c>
      <c r="W57" s="22" t="s">
        <v>12</v>
      </c>
      <c r="X57" s="22" t="s">
        <v>13</v>
      </c>
      <c r="Y57" s="22" t="s">
        <v>14</v>
      </c>
      <c r="Z57" s="22" t="s">
        <v>16</v>
      </c>
      <c r="AA57" s="22" t="s">
        <v>4</v>
      </c>
      <c r="AB57" s="22" t="s">
        <v>5</v>
      </c>
      <c r="AC57" s="22" t="s">
        <v>6</v>
      </c>
      <c r="AD57" s="22" t="s">
        <v>17</v>
      </c>
      <c r="AE57" s="22" t="s">
        <v>8</v>
      </c>
      <c r="AF57" s="22" t="s">
        <v>18</v>
      </c>
      <c r="AG57" s="22" t="s">
        <v>10</v>
      </c>
      <c r="AH57" s="22" t="s">
        <v>11</v>
      </c>
      <c r="AI57" s="22" t="s">
        <v>12</v>
      </c>
      <c r="AJ57" s="22" t="s">
        <v>13</v>
      </c>
      <c r="AK57" s="22" t="s">
        <v>14</v>
      </c>
      <c r="AL57" s="22" t="s">
        <v>16</v>
      </c>
      <c r="AM57" s="22" t="s">
        <v>19</v>
      </c>
      <c r="AN57" s="22" t="s">
        <v>5</v>
      </c>
      <c r="AO57" s="22" t="s">
        <v>6</v>
      </c>
      <c r="AP57" s="22" t="s">
        <v>7</v>
      </c>
      <c r="AQ57" s="22" t="s">
        <v>8</v>
      </c>
      <c r="AR57" s="22" t="s">
        <v>9</v>
      </c>
      <c r="AS57" s="22" t="s">
        <v>10</v>
      </c>
      <c r="AT57" s="22" t="s">
        <v>11</v>
      </c>
      <c r="AU57" s="22" t="s">
        <v>12</v>
      </c>
      <c r="AV57" s="22" t="s">
        <v>13</v>
      </c>
      <c r="AW57" s="22" t="s">
        <v>14</v>
      </c>
      <c r="AX57" s="22" t="s">
        <v>3</v>
      </c>
      <c r="AY57" s="22" t="s">
        <v>4</v>
      </c>
      <c r="AZ57" s="22" t="s">
        <v>5</v>
      </c>
      <c r="BA57" s="22" t="s">
        <v>15</v>
      </c>
      <c r="BB57" s="22" t="s">
        <v>7</v>
      </c>
      <c r="BC57" s="22" t="s">
        <v>8</v>
      </c>
      <c r="BD57" s="22" t="s">
        <v>18</v>
      </c>
      <c r="BE57" s="22" t="s">
        <v>10</v>
      </c>
      <c r="BF57" s="22" t="s">
        <v>11</v>
      </c>
      <c r="BG57" s="22" t="s">
        <v>12</v>
      </c>
      <c r="BH57" s="22" t="s">
        <v>20</v>
      </c>
      <c r="BI57" s="22" t="s">
        <v>21</v>
      </c>
      <c r="BJ57" s="22" t="s">
        <v>16</v>
      </c>
      <c r="BK57" s="22" t="s">
        <v>19</v>
      </c>
      <c r="BL57" s="22" t="s">
        <v>5</v>
      </c>
      <c r="BM57" s="22" t="s">
        <v>15</v>
      </c>
      <c r="BN57" s="22" t="s">
        <v>7</v>
      </c>
      <c r="BO57" s="22" t="s">
        <v>8</v>
      </c>
      <c r="BP57" s="22" t="s">
        <v>9</v>
      </c>
      <c r="BQ57" s="22" t="s">
        <v>10</v>
      </c>
      <c r="BR57" s="22" t="s">
        <v>11</v>
      </c>
      <c r="BS57" s="22" t="s">
        <v>12</v>
      </c>
      <c r="BT57" s="22" t="s">
        <v>20</v>
      </c>
      <c r="BU57" s="22" t="s">
        <v>21</v>
      </c>
      <c r="BV57" s="22" t="s">
        <v>22</v>
      </c>
      <c r="BW57" s="22" t="s">
        <v>4</v>
      </c>
      <c r="BX57" s="22" t="s">
        <v>5</v>
      </c>
      <c r="BY57" s="22" t="s">
        <v>6</v>
      </c>
      <c r="BZ57" s="22" t="s">
        <v>17</v>
      </c>
      <c r="CA57" s="22" t="s">
        <v>23</v>
      </c>
      <c r="CB57" s="22" t="s">
        <v>18</v>
      </c>
      <c r="CC57" s="22" t="s">
        <v>24</v>
      </c>
      <c r="CD57" s="22" t="s">
        <v>11</v>
      </c>
      <c r="CE57" s="22" t="s">
        <v>12</v>
      </c>
      <c r="CF57" s="22" t="s">
        <v>13</v>
      </c>
      <c r="CG57" s="22" t="s">
        <v>14</v>
      </c>
      <c r="CH57" s="22" t="s">
        <v>16</v>
      </c>
      <c r="CI57" s="22" t="s">
        <v>4</v>
      </c>
      <c r="CJ57" s="22" t="s">
        <v>5</v>
      </c>
      <c r="CK57" s="22" t="s">
        <v>6</v>
      </c>
      <c r="CL57" s="22" t="s">
        <v>7</v>
      </c>
      <c r="CM57" s="22" t="s">
        <v>8</v>
      </c>
      <c r="CN57" s="22" t="s">
        <v>18</v>
      </c>
      <c r="CO57" s="22" t="s">
        <v>10</v>
      </c>
      <c r="CP57" s="22" t="s">
        <v>11</v>
      </c>
      <c r="CQ57" s="22" t="s">
        <v>12</v>
      </c>
      <c r="CR57" s="22" t="s">
        <v>20</v>
      </c>
      <c r="CS57" s="22" t="s">
        <v>14</v>
      </c>
      <c r="CT57" s="22" t="s">
        <v>22</v>
      </c>
      <c r="CU57" s="22" t="s">
        <v>19</v>
      </c>
      <c r="CV57" s="22" t="s">
        <v>5</v>
      </c>
      <c r="CW57" s="22" t="s">
        <v>15</v>
      </c>
      <c r="CX57" s="22" t="s">
        <v>7</v>
      </c>
      <c r="CY57" s="22" t="s">
        <v>23</v>
      </c>
      <c r="CZ57" s="22" t="s">
        <v>18</v>
      </c>
      <c r="DA57" s="22" t="s">
        <v>24</v>
      </c>
      <c r="DB57" s="22" t="s">
        <v>11</v>
      </c>
      <c r="DC57" s="22" t="s">
        <v>12</v>
      </c>
      <c r="DD57" s="22" t="s">
        <v>13</v>
      </c>
      <c r="DE57" s="22" t="s">
        <v>14</v>
      </c>
      <c r="DF57" s="22" t="s">
        <v>16</v>
      </c>
      <c r="DG57" s="22" t="s">
        <v>4</v>
      </c>
      <c r="DH57" s="22" t="s">
        <v>5</v>
      </c>
      <c r="DI57" s="22" t="s">
        <v>15</v>
      </c>
      <c r="DJ57" s="22" t="s">
        <v>7</v>
      </c>
      <c r="DK57" s="22" t="s">
        <v>8</v>
      </c>
      <c r="DL57" s="22" t="s">
        <v>18</v>
      </c>
      <c r="DM57" s="22" t="s">
        <v>24</v>
      </c>
      <c r="DN57" s="22" t="s">
        <v>11</v>
      </c>
      <c r="DO57" s="22" t="s">
        <v>12</v>
      </c>
      <c r="DP57" s="22" t="s">
        <v>20</v>
      </c>
      <c r="DQ57" s="22" t="s">
        <v>14</v>
      </c>
      <c r="DR57" s="22" t="s">
        <v>22</v>
      </c>
      <c r="DS57" s="22" t="s">
        <v>19</v>
      </c>
      <c r="DT57" s="22" t="s">
        <v>5</v>
      </c>
      <c r="DU57" s="22" t="s">
        <v>15</v>
      </c>
      <c r="DV57" s="22" t="s">
        <v>7</v>
      </c>
      <c r="DW57" s="22" t="s">
        <v>8</v>
      </c>
      <c r="DX57" s="22" t="s">
        <v>18</v>
      </c>
      <c r="DY57" s="22" t="s">
        <v>24</v>
      </c>
      <c r="DZ57" s="22" t="s">
        <v>11</v>
      </c>
      <c r="EA57" s="22" t="s">
        <v>12</v>
      </c>
      <c r="EB57" s="22" t="s">
        <v>20</v>
      </c>
      <c r="EC57" s="22" t="s">
        <v>21</v>
      </c>
      <c r="ED57" s="22" t="s">
        <v>22</v>
      </c>
      <c r="EE57" s="22" t="s">
        <v>4</v>
      </c>
      <c r="EF57" s="22" t="s">
        <v>5</v>
      </c>
      <c r="EG57" s="22" t="s">
        <v>15</v>
      </c>
      <c r="EH57" s="22" t="s">
        <v>17</v>
      </c>
      <c r="EI57" s="22" t="s">
        <v>23</v>
      </c>
      <c r="EJ57" s="22" t="s">
        <v>18</v>
      </c>
      <c r="EK57" s="22" t="s">
        <v>24</v>
      </c>
      <c r="EL57" s="22" t="s">
        <v>11</v>
      </c>
      <c r="EM57" s="22" t="s">
        <v>12</v>
      </c>
      <c r="EN57" s="22" t="s">
        <v>20</v>
      </c>
      <c r="EO57" s="22" t="s">
        <v>21</v>
      </c>
      <c r="EP57" s="22" t="s">
        <v>22</v>
      </c>
      <c r="EQ57" s="22" t="s">
        <v>4</v>
      </c>
      <c r="ER57" s="22" t="s">
        <v>5</v>
      </c>
      <c r="ES57" s="22" t="s">
        <v>6</v>
      </c>
      <c r="ET57" s="22" t="s">
        <v>17</v>
      </c>
      <c r="EU57" s="22" t="s">
        <v>8</v>
      </c>
      <c r="EV57" s="22" t="s">
        <v>18</v>
      </c>
      <c r="EW57" s="22" t="s">
        <v>24</v>
      </c>
      <c r="EX57" s="22" t="s">
        <v>11</v>
      </c>
      <c r="EY57" s="22" t="s">
        <v>12</v>
      </c>
      <c r="EZ57" s="22" t="s">
        <v>20</v>
      </c>
      <c r="FA57" s="22" t="s">
        <v>14</v>
      </c>
      <c r="FB57" s="22" t="s">
        <v>22</v>
      </c>
      <c r="FC57" s="22" t="s">
        <v>4</v>
      </c>
      <c r="FD57" s="22" t="s">
        <v>5</v>
      </c>
      <c r="FE57" s="22" t="s">
        <v>6</v>
      </c>
      <c r="FF57" s="22" t="s">
        <v>7</v>
      </c>
      <c r="FG57" s="22" t="s">
        <v>8</v>
      </c>
      <c r="FH57" s="22" t="s">
        <v>9</v>
      </c>
      <c r="FI57" s="22" t="s">
        <v>24</v>
      </c>
      <c r="FJ57" s="22" t="s">
        <v>11</v>
      </c>
      <c r="FK57" s="22" t="s">
        <v>12</v>
      </c>
      <c r="FL57" s="22" t="s">
        <v>20</v>
      </c>
      <c r="FM57" s="22" t="s">
        <v>14</v>
      </c>
      <c r="FN57" s="22" t="s">
        <v>22</v>
      </c>
      <c r="FO57" s="22" t="s">
        <v>19</v>
      </c>
      <c r="FP57" s="22" t="s">
        <v>27</v>
      </c>
      <c r="FQ57" s="22" t="s">
        <v>15</v>
      </c>
      <c r="FR57" s="22" t="s">
        <v>7</v>
      </c>
      <c r="FS57" s="22" t="s">
        <v>8</v>
      </c>
      <c r="FT57" s="22" t="s">
        <v>9</v>
      </c>
      <c r="FU57" s="22" t="s">
        <v>10</v>
      </c>
      <c r="FV57" s="22" t="s">
        <v>11</v>
      </c>
      <c r="FW57" s="22" t="s">
        <v>12</v>
      </c>
      <c r="FX57" s="22" t="s">
        <v>20</v>
      </c>
      <c r="FY57" s="22" t="s">
        <v>14</v>
      </c>
      <c r="FZ57" s="22" t="s">
        <v>16</v>
      </c>
      <c r="GA57" s="22" t="s">
        <v>19</v>
      </c>
      <c r="GB57" s="22" t="s">
        <v>5</v>
      </c>
      <c r="GC57" s="22" t="s">
        <v>6</v>
      </c>
      <c r="GD57" s="22" t="s">
        <v>7</v>
      </c>
      <c r="GE57" s="22" t="s">
        <v>8</v>
      </c>
      <c r="GF57" s="22" t="s">
        <v>18</v>
      </c>
      <c r="GG57" s="22" t="s">
        <v>24</v>
      </c>
      <c r="GH57" s="22" t="s">
        <v>11</v>
      </c>
      <c r="GI57" s="22" t="s">
        <v>12</v>
      </c>
      <c r="GJ57" s="22" t="s">
        <v>13</v>
      </c>
      <c r="GK57" s="22" t="s">
        <v>14</v>
      </c>
      <c r="GL57" s="22" t="s">
        <v>22</v>
      </c>
      <c r="GM57" s="22" t="s">
        <v>4</v>
      </c>
      <c r="GN57" s="22" t="s">
        <v>5</v>
      </c>
      <c r="GO57" s="22" t="s">
        <v>6</v>
      </c>
      <c r="GP57" s="22" t="s">
        <v>7</v>
      </c>
      <c r="GQ57" s="22" t="s">
        <v>8</v>
      </c>
      <c r="GR57" s="22" t="s">
        <v>18</v>
      </c>
      <c r="GS57" s="22" t="s">
        <v>25</v>
      </c>
      <c r="GT57" s="2"/>
      <c r="GU57" s="2"/>
      <c r="GV57" s="20" t="s">
        <v>3</v>
      </c>
      <c r="GW57" s="21" t="s">
        <v>4</v>
      </c>
      <c r="GX57" s="20" t="s">
        <v>5</v>
      </c>
      <c r="GY57" s="20" t="s">
        <v>6</v>
      </c>
      <c r="GZ57" s="20" t="s">
        <v>7</v>
      </c>
      <c r="HA57" s="20" t="s">
        <v>8</v>
      </c>
      <c r="HB57" s="20" t="s">
        <v>9</v>
      </c>
      <c r="HC57" s="20" t="s">
        <v>10</v>
      </c>
      <c r="HD57" s="20" t="s">
        <v>11</v>
      </c>
      <c r="HE57" s="20" t="s">
        <v>12</v>
      </c>
      <c r="HF57" s="20" t="s">
        <v>13</v>
      </c>
      <c r="HG57" s="20" t="s">
        <v>14</v>
      </c>
      <c r="HH57" s="20" t="s">
        <v>3</v>
      </c>
      <c r="HI57" s="20" t="s">
        <v>4</v>
      </c>
      <c r="HJ57" s="20" t="s">
        <v>5</v>
      </c>
      <c r="HK57" s="20" t="s">
        <v>15</v>
      </c>
      <c r="HL57" s="22" t="s">
        <v>7</v>
      </c>
      <c r="HM57" s="22" t="s">
        <v>8</v>
      </c>
      <c r="HN57" s="22" t="s">
        <v>9</v>
      </c>
      <c r="HO57" s="22" t="s">
        <v>10</v>
      </c>
      <c r="HP57" s="22" t="s">
        <v>11</v>
      </c>
      <c r="HQ57" s="22" t="s">
        <v>12</v>
      </c>
      <c r="HR57" s="22" t="s">
        <v>13</v>
      </c>
      <c r="HS57" s="22" t="s">
        <v>14</v>
      </c>
      <c r="HT57" s="22" t="s">
        <v>16</v>
      </c>
      <c r="HU57" s="44" t="s">
        <v>4</v>
      </c>
      <c r="HV57" s="22" t="s">
        <v>5</v>
      </c>
      <c r="HW57" s="22" t="s">
        <v>6</v>
      </c>
      <c r="HX57" s="22" t="s">
        <v>17</v>
      </c>
      <c r="HY57" s="22" t="s">
        <v>8</v>
      </c>
      <c r="HZ57" s="22" t="s">
        <v>18</v>
      </c>
      <c r="IA57" s="22" t="s">
        <v>10</v>
      </c>
      <c r="IB57" s="22" t="s">
        <v>11</v>
      </c>
      <c r="IC57" s="22" t="s">
        <v>12</v>
      </c>
      <c r="ID57" s="22" t="s">
        <v>13</v>
      </c>
      <c r="IE57" s="22" t="s">
        <v>26</v>
      </c>
      <c r="IF57" s="22" t="s">
        <v>16</v>
      </c>
      <c r="IG57" s="22" t="s">
        <v>4</v>
      </c>
      <c r="IH57" s="22" t="s">
        <v>5</v>
      </c>
      <c r="II57" s="22" t="s">
        <v>6</v>
      </c>
      <c r="IJ57" s="22" t="s">
        <v>7</v>
      </c>
      <c r="IK57" s="22" t="s">
        <v>8</v>
      </c>
      <c r="IL57" s="22" t="s">
        <v>18</v>
      </c>
      <c r="IM57" s="22" t="s">
        <v>10</v>
      </c>
      <c r="IN57" s="22" t="s">
        <v>11</v>
      </c>
      <c r="IO57" s="22" t="s">
        <v>12</v>
      </c>
      <c r="IP57" s="22" t="s">
        <v>13</v>
      </c>
      <c r="IQ57" s="22" t="s">
        <v>14</v>
      </c>
      <c r="IR57" s="22" t="s">
        <v>3</v>
      </c>
      <c r="IS57" s="22" t="s">
        <v>4</v>
      </c>
      <c r="IT57" s="22" t="s">
        <v>5</v>
      </c>
      <c r="IU57" s="22" t="s">
        <v>15</v>
      </c>
      <c r="IV57" s="22" t="s">
        <v>7</v>
      </c>
      <c r="IW57" s="22" t="s">
        <v>8</v>
      </c>
      <c r="IX57" s="22" t="s">
        <v>18</v>
      </c>
      <c r="IY57" s="22" t="s">
        <v>10</v>
      </c>
      <c r="IZ57" s="22" t="s">
        <v>11</v>
      </c>
      <c r="JA57" s="22" t="s">
        <v>12</v>
      </c>
      <c r="JB57" s="22" t="s">
        <v>20</v>
      </c>
      <c r="JC57" s="22" t="s">
        <v>21</v>
      </c>
      <c r="JD57" s="22" t="s">
        <v>16</v>
      </c>
      <c r="JE57" s="22" t="s">
        <v>4</v>
      </c>
      <c r="JF57" s="22" t="s">
        <v>5</v>
      </c>
      <c r="JG57" s="22" t="s">
        <v>6</v>
      </c>
      <c r="JH57" s="22" t="s">
        <v>7</v>
      </c>
      <c r="JI57" s="22" t="s">
        <v>8</v>
      </c>
      <c r="JJ57" s="22" t="s">
        <v>9</v>
      </c>
      <c r="JK57" s="22" t="s">
        <v>10</v>
      </c>
      <c r="JL57" s="22" t="s">
        <v>11</v>
      </c>
      <c r="JM57" s="22" t="s">
        <v>12</v>
      </c>
      <c r="JN57" s="22" t="s">
        <v>20</v>
      </c>
      <c r="JO57" s="22" t="s">
        <v>21</v>
      </c>
      <c r="JP57" s="22" t="s">
        <v>22</v>
      </c>
      <c r="JQ57" s="22" t="s">
        <v>4</v>
      </c>
      <c r="JR57" s="22" t="s">
        <v>5</v>
      </c>
      <c r="JS57" s="22" t="s">
        <v>6</v>
      </c>
      <c r="JT57" s="22" t="s">
        <v>17</v>
      </c>
      <c r="JU57" s="22" t="s">
        <v>23</v>
      </c>
      <c r="JV57" s="22" t="s">
        <v>18</v>
      </c>
      <c r="JW57" s="22" t="s">
        <v>24</v>
      </c>
      <c r="JX57" s="22" t="s">
        <v>11</v>
      </c>
      <c r="JY57" s="22" t="s">
        <v>12</v>
      </c>
      <c r="JZ57" s="22" t="s">
        <v>13</v>
      </c>
      <c r="KA57" s="22" t="s">
        <v>14</v>
      </c>
      <c r="KB57" s="22" t="s">
        <v>22</v>
      </c>
      <c r="KC57" s="22" t="s">
        <v>4</v>
      </c>
      <c r="KD57" s="22" t="s">
        <v>5</v>
      </c>
      <c r="KE57" s="22" t="s">
        <v>6</v>
      </c>
      <c r="KF57" s="22" t="s">
        <v>17</v>
      </c>
      <c r="KG57" s="22" t="s">
        <v>8</v>
      </c>
      <c r="KH57" s="22" t="s">
        <v>18</v>
      </c>
      <c r="KI57" s="22" t="s">
        <v>10</v>
      </c>
      <c r="KJ57" s="22" t="s">
        <v>11</v>
      </c>
      <c r="KK57" s="22" t="s">
        <v>12</v>
      </c>
      <c r="KL57" s="22" t="s">
        <v>20</v>
      </c>
      <c r="KM57" s="22" t="s">
        <v>21</v>
      </c>
      <c r="KN57" s="22" t="s">
        <v>16</v>
      </c>
      <c r="KO57" s="22" t="s">
        <v>19</v>
      </c>
      <c r="KP57" s="22" t="s">
        <v>5</v>
      </c>
      <c r="KQ57" s="22" t="s">
        <v>6</v>
      </c>
      <c r="KR57" s="22" t="s">
        <v>7</v>
      </c>
      <c r="KS57" s="22" t="s">
        <v>8</v>
      </c>
      <c r="KT57" s="22" t="s">
        <v>18</v>
      </c>
      <c r="KU57" s="22" t="s">
        <v>24</v>
      </c>
      <c r="KV57" s="22" t="s">
        <v>11</v>
      </c>
      <c r="KW57" s="22" t="s">
        <v>12</v>
      </c>
      <c r="KX57" s="22" t="s">
        <v>20</v>
      </c>
      <c r="KY57" s="22" t="s">
        <v>14</v>
      </c>
      <c r="KZ57" s="22" t="s">
        <v>16</v>
      </c>
      <c r="LA57" s="22" t="s">
        <v>4</v>
      </c>
      <c r="LB57" s="22" t="s">
        <v>27</v>
      </c>
      <c r="LC57" s="22" t="s">
        <v>6</v>
      </c>
      <c r="LD57" s="22" t="s">
        <v>7</v>
      </c>
      <c r="LE57" s="22" t="s">
        <v>8</v>
      </c>
      <c r="LF57" s="22" t="s">
        <v>9</v>
      </c>
      <c r="LG57" s="22" t="s">
        <v>24</v>
      </c>
      <c r="LH57" s="22" t="s">
        <v>11</v>
      </c>
      <c r="LI57" s="22" t="s">
        <v>12</v>
      </c>
      <c r="LJ57" s="22" t="s">
        <v>20</v>
      </c>
      <c r="LK57" s="22" t="s">
        <v>14</v>
      </c>
      <c r="LL57" s="22" t="s">
        <v>22</v>
      </c>
      <c r="LM57" s="22" t="s">
        <v>19</v>
      </c>
      <c r="LN57" s="22" t="s">
        <v>5</v>
      </c>
      <c r="LO57" s="22" t="s">
        <v>15</v>
      </c>
      <c r="LP57" s="22" t="s">
        <v>7</v>
      </c>
      <c r="LQ57" s="22" t="s">
        <v>8</v>
      </c>
      <c r="LR57" s="22" t="s">
        <v>18</v>
      </c>
      <c r="LS57" s="22" t="s">
        <v>10</v>
      </c>
      <c r="LT57" s="22" t="s">
        <v>11</v>
      </c>
      <c r="LU57" s="22" t="s">
        <v>12</v>
      </c>
      <c r="LV57" s="22" t="s">
        <v>13</v>
      </c>
      <c r="LW57" s="22" t="s">
        <v>14</v>
      </c>
      <c r="LX57" s="22" t="s">
        <v>22</v>
      </c>
      <c r="LY57" s="22" t="s">
        <v>4</v>
      </c>
      <c r="LZ57" s="22" t="s">
        <v>5</v>
      </c>
      <c r="MA57" s="22" t="s">
        <v>6</v>
      </c>
      <c r="MB57" s="22" t="s">
        <v>17</v>
      </c>
      <c r="MC57" s="22" t="s">
        <v>8</v>
      </c>
      <c r="MD57" s="22" t="s">
        <v>18</v>
      </c>
      <c r="ME57" s="22" t="s">
        <v>24</v>
      </c>
      <c r="MF57" s="22" t="s">
        <v>11</v>
      </c>
      <c r="MG57" s="22" t="s">
        <v>101</v>
      </c>
      <c r="MH57" s="22" t="s">
        <v>20</v>
      </c>
      <c r="MI57" s="22" t="s">
        <v>14</v>
      </c>
      <c r="MJ57" s="22" t="s">
        <v>22</v>
      </c>
      <c r="MK57" s="22" t="s">
        <v>4</v>
      </c>
      <c r="ML57" s="22" t="s">
        <v>5</v>
      </c>
      <c r="MM57" s="22" t="s">
        <v>6</v>
      </c>
      <c r="MN57" s="22" t="s">
        <v>17</v>
      </c>
      <c r="MO57" s="22" t="s">
        <v>8</v>
      </c>
      <c r="MP57" s="22" t="s">
        <v>18</v>
      </c>
      <c r="MQ57" s="22" t="s">
        <v>24</v>
      </c>
      <c r="MR57" s="22" t="s">
        <v>11</v>
      </c>
      <c r="MS57" s="22" t="s">
        <v>12</v>
      </c>
      <c r="MT57" s="22" t="s">
        <v>20</v>
      </c>
      <c r="MU57" s="22" t="s">
        <v>14</v>
      </c>
      <c r="MV57" s="22" t="s">
        <v>22</v>
      </c>
      <c r="MW57" s="22" t="s">
        <v>4</v>
      </c>
      <c r="MX57" s="22" t="s">
        <v>5</v>
      </c>
      <c r="MY57" s="22" t="s">
        <v>6</v>
      </c>
      <c r="MZ57" s="22" t="s">
        <v>7</v>
      </c>
      <c r="NA57" s="22" t="s">
        <v>8</v>
      </c>
      <c r="NB57" s="22" t="s">
        <v>18</v>
      </c>
      <c r="NC57" s="22" t="s">
        <v>24</v>
      </c>
      <c r="ND57" s="22" t="s">
        <v>11</v>
      </c>
      <c r="NE57" s="22" t="s">
        <v>12</v>
      </c>
      <c r="NF57" s="22" t="s">
        <v>20</v>
      </c>
      <c r="NG57" s="22" t="s">
        <v>14</v>
      </c>
      <c r="NH57" s="22" t="s">
        <v>22</v>
      </c>
      <c r="NI57" s="22" t="s">
        <v>19</v>
      </c>
      <c r="NJ57" s="22" t="s">
        <v>27</v>
      </c>
      <c r="NK57" s="22" t="s">
        <v>6</v>
      </c>
      <c r="NL57" s="22" t="s">
        <v>7</v>
      </c>
      <c r="NM57" s="22" t="s">
        <v>8</v>
      </c>
      <c r="NN57" s="22" t="s">
        <v>9</v>
      </c>
      <c r="NO57" s="22" t="s">
        <v>10</v>
      </c>
      <c r="NP57" s="22" t="s">
        <v>11</v>
      </c>
      <c r="NQ57" s="22" t="s">
        <v>12</v>
      </c>
      <c r="NR57" s="22" t="s">
        <v>20</v>
      </c>
      <c r="NS57" s="22" t="s">
        <v>14</v>
      </c>
      <c r="NT57" s="22" t="s">
        <v>16</v>
      </c>
      <c r="NU57" s="22" t="s">
        <v>19</v>
      </c>
      <c r="NV57" s="22" t="s">
        <v>5</v>
      </c>
      <c r="NW57" s="22" t="s">
        <v>6</v>
      </c>
      <c r="NX57" s="22" t="s">
        <v>7</v>
      </c>
      <c r="NY57" s="22" t="s">
        <v>8</v>
      </c>
      <c r="NZ57" s="22" t="s">
        <v>18</v>
      </c>
      <c r="OA57" s="22" t="s">
        <v>24</v>
      </c>
      <c r="OB57" s="22" t="s">
        <v>11</v>
      </c>
      <c r="OC57" s="22" t="s">
        <v>12</v>
      </c>
      <c r="OD57" s="22" t="s">
        <v>13</v>
      </c>
      <c r="OE57" s="22" t="s">
        <v>14</v>
      </c>
      <c r="OF57" s="22" t="s">
        <v>16</v>
      </c>
      <c r="OG57" s="22" t="s">
        <v>4</v>
      </c>
      <c r="OH57" s="22" t="s">
        <v>5</v>
      </c>
      <c r="OI57" s="22" t="s">
        <v>15</v>
      </c>
      <c r="OJ57" s="22" t="s">
        <v>7</v>
      </c>
      <c r="OK57" s="22" t="s">
        <v>8</v>
      </c>
      <c r="OL57" s="22" t="s">
        <v>18</v>
      </c>
    </row>
    <row r="58" spans="1:402" s="145" customFormat="1" ht="19.5" customHeight="1" x14ac:dyDescent="0.35">
      <c r="A58" s="12" t="s">
        <v>29</v>
      </c>
      <c r="B58" s="156">
        <v>244</v>
      </c>
      <c r="C58" s="156">
        <v>259</v>
      </c>
      <c r="D58" s="156">
        <v>276</v>
      </c>
      <c r="E58" s="156">
        <f>260</f>
        <v>260</v>
      </c>
      <c r="F58" s="156">
        <f>'[2]Jan 08'!$C$21</f>
        <v>281</v>
      </c>
      <c r="G58" s="143">
        <f>'[1]Feb 08'!C21</f>
        <v>312</v>
      </c>
      <c r="H58" s="143">
        <f>'[1]Mar 08'!C21</f>
        <v>316</v>
      </c>
      <c r="I58" s="143">
        <v>321</v>
      </c>
      <c r="J58" s="143">
        <f>'[1]May 08'!C21</f>
        <v>307</v>
      </c>
      <c r="K58" s="143">
        <f>'[1]Jun 08'!C21</f>
        <v>278</v>
      </c>
      <c r="L58" s="143">
        <f>'[1]Jul 08'!C21</f>
        <v>269</v>
      </c>
      <c r="M58" s="143">
        <f>'[1]Aug 08'!C21</f>
        <v>270</v>
      </c>
      <c r="N58" s="143">
        <v>273</v>
      </c>
      <c r="O58" s="143">
        <v>297</v>
      </c>
      <c r="P58" s="143">
        <v>303</v>
      </c>
      <c r="Q58" s="143">
        <v>284</v>
      </c>
      <c r="R58" s="143">
        <v>293</v>
      </c>
      <c r="S58" s="143">
        <v>298</v>
      </c>
      <c r="T58" s="143">
        <v>302</v>
      </c>
      <c r="U58" s="143">
        <v>303</v>
      </c>
      <c r="V58" s="143">
        <v>285</v>
      </c>
      <c r="W58" s="143">
        <v>246</v>
      </c>
      <c r="X58" s="143">
        <v>237</v>
      </c>
      <c r="Y58" s="143">
        <v>241</v>
      </c>
      <c r="Z58" s="143">
        <v>212</v>
      </c>
      <c r="AA58" s="143">
        <v>234</v>
      </c>
      <c r="AB58" s="143">
        <v>242</v>
      </c>
      <c r="AC58" s="143">
        <v>230</v>
      </c>
      <c r="AD58" s="143">
        <v>239</v>
      </c>
      <c r="AE58" s="143">
        <v>240</v>
      </c>
      <c r="AF58" s="143">
        <v>237</v>
      </c>
      <c r="AG58" s="143">
        <v>220</v>
      </c>
      <c r="AH58" s="143">
        <v>200</v>
      </c>
      <c r="AI58" s="143">
        <v>182</v>
      </c>
      <c r="AJ58" s="143">
        <v>177</v>
      </c>
      <c r="AK58" s="143">
        <v>168</v>
      </c>
      <c r="AL58" s="143">
        <v>167</v>
      </c>
      <c r="AM58" s="143">
        <v>163</v>
      </c>
      <c r="AN58" s="143">
        <v>168</v>
      </c>
      <c r="AO58" s="143">
        <v>168</v>
      </c>
      <c r="AP58" s="143">
        <v>164</v>
      </c>
      <c r="AQ58" s="143">
        <v>167</v>
      </c>
      <c r="AR58" s="143">
        <v>168</v>
      </c>
      <c r="AS58" s="143">
        <v>163</v>
      </c>
      <c r="AT58" s="143">
        <v>143</v>
      </c>
      <c r="AU58" s="143">
        <v>129</v>
      </c>
      <c r="AV58" s="143">
        <v>118</v>
      </c>
      <c r="AW58" s="143">
        <v>121</v>
      </c>
      <c r="AX58" s="143">
        <v>124</v>
      </c>
      <c r="AY58" s="143">
        <v>136</v>
      </c>
      <c r="AZ58" s="143">
        <v>140</v>
      </c>
      <c r="BA58" s="143">
        <v>136</v>
      </c>
      <c r="BB58" s="143">
        <v>139</v>
      </c>
      <c r="BC58" s="143">
        <v>149</v>
      </c>
      <c r="BD58" s="143">
        <v>135</v>
      </c>
      <c r="BE58" s="143">
        <v>133</v>
      </c>
      <c r="BF58" s="143">
        <v>119</v>
      </c>
      <c r="BG58" s="143">
        <v>117</v>
      </c>
      <c r="BH58" s="143">
        <v>112</v>
      </c>
      <c r="BI58" s="143">
        <v>94</v>
      </c>
      <c r="BJ58" s="143">
        <v>101</v>
      </c>
      <c r="BK58" s="143">
        <v>121</v>
      </c>
      <c r="BL58" s="143">
        <v>125</v>
      </c>
      <c r="BM58" s="143">
        <v>129</v>
      </c>
      <c r="BN58" s="143">
        <v>132</v>
      </c>
      <c r="BO58" s="143">
        <v>148</v>
      </c>
      <c r="BP58" s="143">
        <v>155</v>
      </c>
      <c r="BQ58" s="143">
        <v>137</v>
      </c>
      <c r="BR58" s="143">
        <v>119</v>
      </c>
      <c r="BS58" s="143">
        <v>107</v>
      </c>
      <c r="BT58" s="143">
        <v>99</v>
      </c>
      <c r="BU58" s="143">
        <v>99</v>
      </c>
      <c r="BV58" s="143">
        <v>111</v>
      </c>
      <c r="BW58" s="143">
        <v>139</v>
      </c>
      <c r="BX58" s="143">
        <v>142</v>
      </c>
      <c r="BY58" s="143">
        <v>133</v>
      </c>
      <c r="BZ58" s="143">
        <v>161</v>
      </c>
      <c r="CA58" s="143">
        <v>171</v>
      </c>
      <c r="CB58" s="143">
        <v>173</v>
      </c>
      <c r="CC58" s="143">
        <v>168</v>
      </c>
      <c r="CD58" s="143">
        <v>150</v>
      </c>
      <c r="CE58" s="143">
        <v>125</v>
      </c>
      <c r="CF58" s="143">
        <v>120</v>
      </c>
      <c r="CG58" s="143">
        <v>117</v>
      </c>
      <c r="CH58" s="143">
        <v>126</v>
      </c>
      <c r="CI58" s="143">
        <v>150</v>
      </c>
      <c r="CJ58" s="143">
        <v>149</v>
      </c>
      <c r="CK58" s="143">
        <v>151</v>
      </c>
      <c r="CL58" s="143">
        <v>179</v>
      </c>
      <c r="CM58" s="143">
        <v>192</v>
      </c>
      <c r="CN58" s="143">
        <v>203</v>
      </c>
      <c r="CO58" s="143">
        <v>191</v>
      </c>
      <c r="CP58" s="143">
        <v>181</v>
      </c>
      <c r="CQ58" s="143">
        <v>146</v>
      </c>
      <c r="CR58" s="143">
        <v>134</v>
      </c>
      <c r="CS58" s="143">
        <v>125</v>
      </c>
      <c r="CT58" s="143">
        <v>144</v>
      </c>
      <c r="CU58" s="143">
        <v>169</v>
      </c>
      <c r="CV58" s="143">
        <v>172</v>
      </c>
      <c r="CW58" s="143">
        <v>177</v>
      </c>
      <c r="CX58" s="143">
        <v>206</v>
      </c>
      <c r="CY58" s="143">
        <v>231</v>
      </c>
      <c r="CZ58" s="143">
        <v>239</v>
      </c>
      <c r="DA58" s="143">
        <v>224</v>
      </c>
      <c r="DB58" s="143">
        <v>213</v>
      </c>
      <c r="DC58" s="143">
        <v>185</v>
      </c>
      <c r="DD58" s="143">
        <v>159</v>
      </c>
      <c r="DE58" s="143">
        <v>153</v>
      </c>
      <c r="DF58" s="143">
        <v>184</v>
      </c>
      <c r="DG58" s="143">
        <v>203</v>
      </c>
      <c r="DH58" s="143">
        <v>208</v>
      </c>
      <c r="DI58" s="143">
        <v>203</v>
      </c>
      <c r="DJ58" s="143">
        <v>221</v>
      </c>
      <c r="DK58" s="143">
        <v>231</v>
      </c>
      <c r="DL58" s="143">
        <v>240</v>
      </c>
      <c r="DM58" s="143">
        <v>244</v>
      </c>
      <c r="DN58" s="143">
        <v>219</v>
      </c>
      <c r="DO58" s="143">
        <v>185</v>
      </c>
      <c r="DP58" s="143">
        <v>162</v>
      </c>
      <c r="DQ58" s="143">
        <v>170</v>
      </c>
      <c r="DR58" s="143">
        <v>184</v>
      </c>
      <c r="DS58" s="143">
        <v>217</v>
      </c>
      <c r="DT58" s="143">
        <v>212</v>
      </c>
      <c r="DU58" s="143">
        <v>204</v>
      </c>
      <c r="DV58" s="143">
        <v>234</v>
      </c>
      <c r="DW58" s="143">
        <v>229</v>
      </c>
      <c r="DX58" s="143">
        <v>247</v>
      </c>
      <c r="DY58" s="143">
        <v>252</v>
      </c>
      <c r="DZ58" s="143">
        <v>222</v>
      </c>
      <c r="EA58" s="143">
        <v>197</v>
      </c>
      <c r="EB58" s="143">
        <v>183</v>
      </c>
      <c r="EC58" s="143">
        <v>159</v>
      </c>
      <c r="ED58" s="143">
        <v>168</v>
      </c>
      <c r="EE58" s="143">
        <v>190</v>
      </c>
      <c r="EF58" s="143">
        <v>199</v>
      </c>
      <c r="EG58" s="143">
        <v>205</v>
      </c>
      <c r="EH58" s="143">
        <v>242</v>
      </c>
      <c r="EI58" s="143">
        <v>240</v>
      </c>
      <c r="EJ58" s="143">
        <v>245</v>
      </c>
      <c r="EK58" s="143">
        <v>223</v>
      </c>
      <c r="EL58" s="143">
        <v>215</v>
      </c>
      <c r="EM58" s="143">
        <v>189</v>
      </c>
      <c r="EN58" s="143">
        <v>155</v>
      </c>
      <c r="EO58" s="143">
        <v>148</v>
      </c>
      <c r="EP58" s="143">
        <v>159</v>
      </c>
      <c r="EQ58" s="143">
        <v>171</v>
      </c>
      <c r="ER58" s="143">
        <v>182</v>
      </c>
      <c r="ES58" s="143">
        <v>166</v>
      </c>
      <c r="ET58" s="143">
        <v>155</v>
      </c>
      <c r="EU58" s="143">
        <v>166</v>
      </c>
      <c r="EV58" s="143">
        <v>155</v>
      </c>
      <c r="EW58" s="143">
        <v>141</v>
      </c>
      <c r="EX58" s="143">
        <v>155</v>
      </c>
      <c r="EY58" s="143">
        <v>141</v>
      </c>
      <c r="EZ58" s="143">
        <v>138</v>
      </c>
      <c r="FA58" s="143">
        <v>131</v>
      </c>
      <c r="FB58" s="143">
        <v>110</v>
      </c>
      <c r="FC58" s="143">
        <v>108</v>
      </c>
      <c r="FD58" s="143">
        <v>89</v>
      </c>
      <c r="FE58" s="143">
        <v>82</v>
      </c>
      <c r="FF58" s="143">
        <v>63</v>
      </c>
      <c r="FG58" s="143">
        <v>46</v>
      </c>
      <c r="FH58" s="143">
        <v>46</v>
      </c>
      <c r="FI58" s="143">
        <v>54</v>
      </c>
      <c r="FJ58" s="143">
        <v>68</v>
      </c>
      <c r="FK58" s="143">
        <v>56</v>
      </c>
      <c r="FL58" s="143">
        <v>54</v>
      </c>
      <c r="FM58" s="143">
        <v>60</v>
      </c>
      <c r="FN58" s="143">
        <v>54</v>
      </c>
      <c r="FO58" s="143">
        <v>52</v>
      </c>
      <c r="FP58" s="143">
        <v>45</v>
      </c>
      <c r="FQ58" s="143">
        <v>38</v>
      </c>
      <c r="FR58" s="143">
        <v>31</v>
      </c>
      <c r="FS58" s="143">
        <v>26</v>
      </c>
      <c r="FT58" s="143">
        <v>46</v>
      </c>
      <c r="FU58" s="143">
        <v>68</v>
      </c>
      <c r="FV58" s="143">
        <v>93</v>
      </c>
      <c r="FW58" s="143">
        <v>133</v>
      </c>
      <c r="FX58" s="143">
        <v>130</v>
      </c>
      <c r="FY58" s="143">
        <v>134</v>
      </c>
      <c r="FZ58" s="143">
        <v>140</v>
      </c>
      <c r="GA58" s="143">
        <v>137</v>
      </c>
      <c r="GB58" s="143">
        <v>133</v>
      </c>
      <c r="GC58" s="143">
        <v>122</v>
      </c>
      <c r="GD58" s="143">
        <v>132</v>
      </c>
      <c r="GE58" s="143">
        <v>132</v>
      </c>
      <c r="GF58" s="143">
        <v>134</v>
      </c>
      <c r="GG58" s="143">
        <v>114</v>
      </c>
      <c r="GH58" s="143">
        <v>112</v>
      </c>
      <c r="GI58" s="143">
        <v>99</v>
      </c>
      <c r="GJ58" s="143">
        <v>99</v>
      </c>
      <c r="GK58" s="143">
        <v>110</v>
      </c>
      <c r="GL58" s="143">
        <v>133</v>
      </c>
      <c r="GM58" s="143">
        <v>158</v>
      </c>
      <c r="GN58" s="143">
        <v>158</v>
      </c>
      <c r="GO58" s="143">
        <v>139</v>
      </c>
      <c r="GP58" s="143">
        <v>167</v>
      </c>
      <c r="GQ58" s="143">
        <v>169</v>
      </c>
      <c r="GR58" s="143">
        <v>174</v>
      </c>
      <c r="GS58" s="143">
        <f>SUM(GG58:GR58)/12</f>
        <v>136</v>
      </c>
      <c r="GT58" s="152"/>
      <c r="GU58" s="12" t="s">
        <v>29</v>
      </c>
      <c r="GV58" s="145" t="s">
        <v>30</v>
      </c>
      <c r="GW58" s="145">
        <f t="shared" ref="GW58:JH58" si="42">(C58-B58)/B58</f>
        <v>6.1475409836065573E-2</v>
      </c>
      <c r="GX58" s="145">
        <f t="shared" si="42"/>
        <v>6.5637065637065631E-2</v>
      </c>
      <c r="GY58" s="145">
        <f t="shared" si="42"/>
        <v>-5.7971014492753624E-2</v>
      </c>
      <c r="GZ58" s="145">
        <f t="shared" si="42"/>
        <v>8.0769230769230774E-2</v>
      </c>
      <c r="HA58" s="145">
        <f t="shared" si="42"/>
        <v>0.1103202846975089</v>
      </c>
      <c r="HB58" s="145">
        <f t="shared" si="42"/>
        <v>1.282051282051282E-2</v>
      </c>
      <c r="HC58" s="145">
        <f t="shared" si="42"/>
        <v>1.5822784810126583E-2</v>
      </c>
      <c r="HD58" s="145">
        <f t="shared" si="42"/>
        <v>-4.3613707165109032E-2</v>
      </c>
      <c r="HE58" s="145">
        <f t="shared" si="42"/>
        <v>-9.4462540716612378E-2</v>
      </c>
      <c r="HF58" s="145">
        <f t="shared" si="42"/>
        <v>-3.237410071942446E-2</v>
      </c>
      <c r="HG58" s="145">
        <f t="shared" si="42"/>
        <v>3.7174721189591076E-3</v>
      </c>
      <c r="HH58" s="145">
        <f t="shared" si="42"/>
        <v>1.1111111111111112E-2</v>
      </c>
      <c r="HI58" s="145">
        <f t="shared" si="42"/>
        <v>8.7912087912087919E-2</v>
      </c>
      <c r="HJ58" s="145">
        <f t="shared" si="42"/>
        <v>2.0202020202020204E-2</v>
      </c>
      <c r="HK58" s="145">
        <f t="shared" si="42"/>
        <v>-6.2706270627062702E-2</v>
      </c>
      <c r="HL58" s="145">
        <f t="shared" si="42"/>
        <v>3.1690140845070422E-2</v>
      </c>
      <c r="HM58" s="145">
        <f t="shared" si="42"/>
        <v>1.7064846416382253E-2</v>
      </c>
      <c r="HN58" s="145">
        <f t="shared" si="42"/>
        <v>1.3422818791946308E-2</v>
      </c>
      <c r="HO58" s="145">
        <f t="shared" si="42"/>
        <v>3.3112582781456954E-3</v>
      </c>
      <c r="HP58" s="145">
        <f t="shared" si="42"/>
        <v>-5.9405940594059403E-2</v>
      </c>
      <c r="HQ58" s="145">
        <f t="shared" si="42"/>
        <v>-0.1368421052631579</v>
      </c>
      <c r="HR58" s="145">
        <f t="shared" si="42"/>
        <v>-3.6585365853658534E-2</v>
      </c>
      <c r="HS58" s="145">
        <f t="shared" si="42"/>
        <v>1.6877637130801686E-2</v>
      </c>
      <c r="HT58" s="145">
        <f t="shared" si="42"/>
        <v>-0.12033195020746888</v>
      </c>
      <c r="HU58" s="145">
        <f t="shared" si="42"/>
        <v>0.10377358490566038</v>
      </c>
      <c r="HV58" s="145">
        <f t="shared" si="42"/>
        <v>3.4188034188034191E-2</v>
      </c>
      <c r="HW58" s="145">
        <f t="shared" si="42"/>
        <v>-4.9586776859504134E-2</v>
      </c>
      <c r="HX58" s="145">
        <f t="shared" si="42"/>
        <v>3.9130434782608699E-2</v>
      </c>
      <c r="HY58" s="145">
        <f t="shared" si="42"/>
        <v>4.1841004184100415E-3</v>
      </c>
      <c r="HZ58" s="145">
        <f t="shared" si="42"/>
        <v>-1.2500000000000001E-2</v>
      </c>
      <c r="IA58" s="145">
        <f t="shared" si="42"/>
        <v>-7.1729957805907171E-2</v>
      </c>
      <c r="IB58" s="145">
        <f t="shared" si="42"/>
        <v>-9.0909090909090912E-2</v>
      </c>
      <c r="IC58" s="145">
        <f t="shared" si="42"/>
        <v>-0.09</v>
      </c>
      <c r="ID58" s="145">
        <f t="shared" si="42"/>
        <v>-2.7472527472527472E-2</v>
      </c>
      <c r="IE58" s="145">
        <f t="shared" si="42"/>
        <v>-5.0847457627118647E-2</v>
      </c>
      <c r="IF58" s="145">
        <f t="shared" si="42"/>
        <v>-5.9523809523809521E-3</v>
      </c>
      <c r="IG58" s="145">
        <f t="shared" si="42"/>
        <v>-2.3952095808383235E-2</v>
      </c>
      <c r="IH58" s="145">
        <f t="shared" si="42"/>
        <v>3.0674846625766871E-2</v>
      </c>
      <c r="II58" s="145">
        <f t="shared" si="42"/>
        <v>0</v>
      </c>
      <c r="IJ58" s="145">
        <f t="shared" si="42"/>
        <v>-2.3809523809523808E-2</v>
      </c>
      <c r="IK58" s="145">
        <f t="shared" si="42"/>
        <v>1.8292682926829267E-2</v>
      </c>
      <c r="IL58" s="145">
        <f t="shared" si="42"/>
        <v>5.9880239520958087E-3</v>
      </c>
      <c r="IM58" s="145">
        <f t="shared" si="42"/>
        <v>-2.976190476190476E-2</v>
      </c>
      <c r="IN58" s="145">
        <f t="shared" si="42"/>
        <v>-0.12269938650306748</v>
      </c>
      <c r="IO58" s="145">
        <f t="shared" si="42"/>
        <v>-9.7902097902097904E-2</v>
      </c>
      <c r="IP58" s="145">
        <f t="shared" si="42"/>
        <v>-8.5271317829457363E-2</v>
      </c>
      <c r="IQ58" s="145">
        <f t="shared" si="42"/>
        <v>2.5423728813559324E-2</v>
      </c>
      <c r="IR58" s="145">
        <f t="shared" si="42"/>
        <v>2.4793388429752067E-2</v>
      </c>
      <c r="IS58" s="145">
        <f t="shared" si="42"/>
        <v>9.6774193548387094E-2</v>
      </c>
      <c r="IT58" s="145">
        <f t="shared" si="42"/>
        <v>2.9411764705882353E-2</v>
      </c>
      <c r="IU58" s="145">
        <f t="shared" si="42"/>
        <v>-2.8571428571428571E-2</v>
      </c>
      <c r="IV58" s="145">
        <f t="shared" si="42"/>
        <v>2.2058823529411766E-2</v>
      </c>
      <c r="IW58" s="145">
        <f t="shared" si="42"/>
        <v>7.1942446043165464E-2</v>
      </c>
      <c r="IX58" s="145">
        <f t="shared" si="42"/>
        <v>-9.3959731543624164E-2</v>
      </c>
      <c r="IY58" s="145">
        <f t="shared" si="42"/>
        <v>-1.4814814814814815E-2</v>
      </c>
      <c r="IZ58" s="145">
        <f t="shared" si="42"/>
        <v>-0.10526315789473684</v>
      </c>
      <c r="JA58" s="145">
        <f t="shared" si="42"/>
        <v>-1.680672268907563E-2</v>
      </c>
      <c r="JB58" s="145">
        <f t="shared" si="42"/>
        <v>-4.2735042735042736E-2</v>
      </c>
      <c r="JC58" s="145">
        <f t="shared" si="42"/>
        <v>-0.16071428571428573</v>
      </c>
      <c r="JD58" s="145">
        <f t="shared" si="42"/>
        <v>7.4468085106382975E-2</v>
      </c>
      <c r="JE58" s="145">
        <f t="shared" si="42"/>
        <v>0.19801980198019803</v>
      </c>
      <c r="JF58" s="145">
        <f t="shared" si="42"/>
        <v>3.3057851239669422E-2</v>
      </c>
      <c r="JG58" s="145">
        <f t="shared" si="42"/>
        <v>3.2000000000000001E-2</v>
      </c>
      <c r="JH58" s="145">
        <f t="shared" si="42"/>
        <v>2.3255813953488372E-2</v>
      </c>
      <c r="JI58" s="145">
        <f t="shared" ref="JI58:LT62" si="43">(BO58-BN58)/BN58</f>
        <v>0.12121212121212122</v>
      </c>
      <c r="JJ58" s="145">
        <f t="shared" si="43"/>
        <v>4.72972972972973E-2</v>
      </c>
      <c r="JK58" s="145">
        <f t="shared" si="43"/>
        <v>-0.11612903225806452</v>
      </c>
      <c r="JL58" s="145">
        <f t="shared" si="43"/>
        <v>-0.13138686131386862</v>
      </c>
      <c r="JM58" s="145">
        <f t="shared" si="43"/>
        <v>-0.10084033613445378</v>
      </c>
      <c r="JN58" s="145">
        <f t="shared" si="43"/>
        <v>-7.476635514018691E-2</v>
      </c>
      <c r="JO58" s="145">
        <f t="shared" si="43"/>
        <v>0</v>
      </c>
      <c r="JP58" s="145">
        <f t="shared" si="43"/>
        <v>0.12121212121212122</v>
      </c>
      <c r="JQ58" s="145">
        <f t="shared" si="43"/>
        <v>0.25225225225225223</v>
      </c>
      <c r="JR58" s="145">
        <f t="shared" si="43"/>
        <v>2.1582733812949641E-2</v>
      </c>
      <c r="JS58" s="145">
        <f t="shared" si="43"/>
        <v>-6.3380281690140844E-2</v>
      </c>
      <c r="JT58" s="145">
        <f t="shared" si="43"/>
        <v>0.21052631578947367</v>
      </c>
      <c r="JU58" s="145">
        <f t="shared" si="43"/>
        <v>6.2111801242236024E-2</v>
      </c>
      <c r="JV58" s="145">
        <f t="shared" si="43"/>
        <v>1.1695906432748537E-2</v>
      </c>
      <c r="JW58" s="145">
        <f t="shared" si="43"/>
        <v>-2.8901734104046242E-2</v>
      </c>
      <c r="JX58" s="145">
        <f t="shared" si="43"/>
        <v>-0.10714285714285714</v>
      </c>
      <c r="JY58" s="145">
        <f t="shared" si="43"/>
        <v>-0.16666666666666666</v>
      </c>
      <c r="JZ58" s="145">
        <f t="shared" si="43"/>
        <v>-0.04</v>
      </c>
      <c r="KA58" s="145">
        <f t="shared" si="43"/>
        <v>-2.5000000000000001E-2</v>
      </c>
      <c r="KB58" s="145">
        <f t="shared" si="43"/>
        <v>7.6923076923076927E-2</v>
      </c>
      <c r="KC58" s="145">
        <f t="shared" si="43"/>
        <v>0.19047619047619047</v>
      </c>
      <c r="KD58" s="145">
        <f t="shared" si="43"/>
        <v>-6.6666666666666671E-3</v>
      </c>
      <c r="KE58" s="145">
        <f t="shared" si="43"/>
        <v>1.3422818791946308E-2</v>
      </c>
      <c r="KF58" s="145">
        <f t="shared" si="43"/>
        <v>0.18543046357615894</v>
      </c>
      <c r="KG58" s="145">
        <f t="shared" si="43"/>
        <v>7.2625698324022353E-2</v>
      </c>
      <c r="KH58" s="145">
        <f t="shared" si="43"/>
        <v>5.7291666666666664E-2</v>
      </c>
      <c r="KI58" s="145">
        <f t="shared" si="43"/>
        <v>-5.9113300492610835E-2</v>
      </c>
      <c r="KJ58" s="145">
        <f t="shared" si="43"/>
        <v>-5.2356020942408377E-2</v>
      </c>
      <c r="KK58" s="145">
        <f t="shared" si="43"/>
        <v>-0.19337016574585636</v>
      </c>
      <c r="KL58" s="145">
        <f t="shared" si="43"/>
        <v>-8.2191780821917804E-2</v>
      </c>
      <c r="KM58" s="145">
        <f t="shared" si="43"/>
        <v>-6.7164179104477612E-2</v>
      </c>
      <c r="KN58" s="145">
        <f t="shared" si="43"/>
        <v>0.152</v>
      </c>
      <c r="KO58" s="145">
        <f t="shared" si="43"/>
        <v>0.1736111111111111</v>
      </c>
      <c r="KP58" s="145">
        <f t="shared" si="43"/>
        <v>1.7751479289940829E-2</v>
      </c>
      <c r="KQ58" s="145">
        <f t="shared" si="43"/>
        <v>2.9069767441860465E-2</v>
      </c>
      <c r="KR58" s="145">
        <f t="shared" si="43"/>
        <v>0.16384180790960451</v>
      </c>
      <c r="KS58" s="145">
        <f t="shared" si="43"/>
        <v>0.12135922330097088</v>
      </c>
      <c r="KT58" s="145">
        <f t="shared" si="43"/>
        <v>3.4632034632034632E-2</v>
      </c>
      <c r="KU58" s="145">
        <f t="shared" si="43"/>
        <v>-6.2761506276150625E-2</v>
      </c>
      <c r="KV58" s="145">
        <f t="shared" si="43"/>
        <v>-4.9107142857142856E-2</v>
      </c>
      <c r="KW58" s="145">
        <f t="shared" si="43"/>
        <v>-0.13145539906103287</v>
      </c>
      <c r="KX58" s="145">
        <f t="shared" si="43"/>
        <v>-0.14054054054054055</v>
      </c>
      <c r="KY58" s="145">
        <f t="shared" si="43"/>
        <v>-3.7735849056603772E-2</v>
      </c>
      <c r="KZ58" s="145">
        <f t="shared" si="43"/>
        <v>0.20261437908496732</v>
      </c>
      <c r="LA58" s="145">
        <f t="shared" si="43"/>
        <v>0.10326086956521739</v>
      </c>
      <c r="LB58" s="145">
        <f t="shared" si="43"/>
        <v>2.4630541871921183E-2</v>
      </c>
      <c r="LC58" s="145">
        <f t="shared" si="43"/>
        <v>-2.403846153846154E-2</v>
      </c>
      <c r="LD58" s="145">
        <f t="shared" si="43"/>
        <v>8.8669950738916259E-2</v>
      </c>
      <c r="LE58" s="145">
        <f t="shared" si="43"/>
        <v>4.5248868778280542E-2</v>
      </c>
      <c r="LF58" s="145">
        <f t="shared" si="43"/>
        <v>3.896103896103896E-2</v>
      </c>
      <c r="LG58" s="145">
        <f t="shared" si="43"/>
        <v>1.6666666666666666E-2</v>
      </c>
      <c r="LH58" s="145">
        <f t="shared" si="43"/>
        <v>-0.10245901639344263</v>
      </c>
      <c r="LI58" s="145">
        <f t="shared" si="43"/>
        <v>-0.15525114155251141</v>
      </c>
      <c r="LJ58" s="145">
        <f t="shared" si="43"/>
        <v>-0.12432432432432433</v>
      </c>
      <c r="LK58" s="145">
        <f t="shared" si="43"/>
        <v>4.9382716049382713E-2</v>
      </c>
      <c r="LL58" s="145">
        <f t="shared" si="43"/>
        <v>8.2352941176470587E-2</v>
      </c>
      <c r="LM58" s="145">
        <f t="shared" si="43"/>
        <v>0.17934782608695651</v>
      </c>
      <c r="LN58" s="145">
        <f t="shared" si="43"/>
        <v>-2.3041474654377881E-2</v>
      </c>
      <c r="LO58" s="145">
        <f t="shared" si="43"/>
        <v>-3.7735849056603772E-2</v>
      </c>
      <c r="LP58" s="145">
        <f t="shared" si="43"/>
        <v>0.14705882352941177</v>
      </c>
      <c r="LQ58" s="145">
        <f t="shared" si="43"/>
        <v>-2.1367521367521368E-2</v>
      </c>
      <c r="LR58" s="145">
        <f t="shared" si="43"/>
        <v>7.8602620087336247E-2</v>
      </c>
      <c r="LS58" s="145">
        <f t="shared" si="43"/>
        <v>2.0242914979757085E-2</v>
      </c>
      <c r="LT58" s="145">
        <f t="shared" si="43"/>
        <v>-0.11904761904761904</v>
      </c>
      <c r="LU58" s="145">
        <f t="shared" ref="LU58:MR62" si="44">(EA58-DZ58)/DZ58</f>
        <v>-0.11261261261261261</v>
      </c>
      <c r="LV58" s="145">
        <f t="shared" si="44"/>
        <v>-7.1065989847715741E-2</v>
      </c>
      <c r="LW58" s="145">
        <f t="shared" si="44"/>
        <v>-0.13114754098360656</v>
      </c>
      <c r="LX58" s="145">
        <f t="shared" si="44"/>
        <v>5.6603773584905662E-2</v>
      </c>
      <c r="LY58" s="145">
        <f t="shared" si="44"/>
        <v>0.13095238095238096</v>
      </c>
      <c r="LZ58" s="145">
        <f t="shared" si="44"/>
        <v>4.736842105263158E-2</v>
      </c>
      <c r="MA58" s="145">
        <f t="shared" si="44"/>
        <v>3.015075376884422E-2</v>
      </c>
      <c r="MB58" s="145">
        <f t="shared" si="44"/>
        <v>0.18048780487804877</v>
      </c>
      <c r="MC58" s="145">
        <f t="shared" si="44"/>
        <v>-8.2644628099173556E-3</v>
      </c>
      <c r="MD58" s="145">
        <f t="shared" si="44"/>
        <v>2.0833333333333332E-2</v>
      </c>
      <c r="ME58" s="145">
        <f t="shared" si="44"/>
        <v>-8.9795918367346933E-2</v>
      </c>
      <c r="MF58" s="145">
        <f t="shared" si="44"/>
        <v>-3.5874439461883408E-2</v>
      </c>
      <c r="MG58" s="145">
        <f t="shared" si="44"/>
        <v>-0.12093023255813953</v>
      </c>
      <c r="MH58" s="145">
        <f t="shared" si="44"/>
        <v>-0.17989417989417988</v>
      </c>
      <c r="MI58" s="145">
        <f t="shared" si="44"/>
        <v>-4.5161290322580643E-2</v>
      </c>
      <c r="MJ58" s="145">
        <f t="shared" si="44"/>
        <v>7.4324324324324328E-2</v>
      </c>
      <c r="MK58" s="145">
        <f t="shared" si="44"/>
        <v>7.5471698113207544E-2</v>
      </c>
      <c r="ML58" s="145">
        <f t="shared" si="44"/>
        <v>6.4327485380116955E-2</v>
      </c>
      <c r="MM58" s="145">
        <f t="shared" si="44"/>
        <v>-8.7912087912087919E-2</v>
      </c>
      <c r="MN58" s="145">
        <f t="shared" si="44"/>
        <v>-6.6265060240963861E-2</v>
      </c>
      <c r="MO58" s="145">
        <f t="shared" si="44"/>
        <v>7.0967741935483872E-2</v>
      </c>
      <c r="MP58" s="145">
        <f t="shared" si="44"/>
        <v>-6.6265060240963861E-2</v>
      </c>
      <c r="MQ58" s="145">
        <f t="shared" si="44"/>
        <v>-9.0322580645161285E-2</v>
      </c>
      <c r="MR58" s="145">
        <f t="shared" si="44"/>
        <v>9.9290780141843976E-2</v>
      </c>
      <c r="MS58" s="145">
        <f>(EZ58-EY58)/EY58</f>
        <v>-2.1276595744680851E-2</v>
      </c>
      <c r="MT58" s="145">
        <f t="shared" ref="MT58:NI62" si="45">(EZ58-EY58)/EZ58</f>
        <v>-2.1739130434782608E-2</v>
      </c>
      <c r="MU58" s="145">
        <f t="shared" si="45"/>
        <v>-5.3435114503816793E-2</v>
      </c>
      <c r="MV58" s="145">
        <f t="shared" si="45"/>
        <v>-0.19090909090909092</v>
      </c>
      <c r="MW58" s="145">
        <f t="shared" si="45"/>
        <v>-1.8518518518518517E-2</v>
      </c>
      <c r="MX58" s="145">
        <f t="shared" si="45"/>
        <v>-0.21348314606741572</v>
      </c>
      <c r="MY58" s="145">
        <f t="shared" si="45"/>
        <v>-8.5365853658536592E-2</v>
      </c>
      <c r="MZ58" s="145">
        <f t="shared" si="45"/>
        <v>-0.30158730158730157</v>
      </c>
      <c r="NA58" s="145">
        <f t="shared" si="45"/>
        <v>-0.36956521739130432</v>
      </c>
      <c r="NB58" s="145">
        <f t="shared" si="45"/>
        <v>0</v>
      </c>
      <c r="NC58" s="145">
        <f t="shared" si="45"/>
        <v>0.14814814814814814</v>
      </c>
      <c r="ND58" s="145">
        <f t="shared" si="45"/>
        <v>0.20588235294117646</v>
      </c>
      <c r="NE58" s="145">
        <f t="shared" si="45"/>
        <v>-0.21428571428571427</v>
      </c>
      <c r="NF58" s="145">
        <f t="shared" si="45"/>
        <v>-3.7037037037037035E-2</v>
      </c>
      <c r="NG58" s="145">
        <f t="shared" si="45"/>
        <v>0.1</v>
      </c>
      <c r="NH58" s="145">
        <f t="shared" si="45"/>
        <v>-0.1111111111111111</v>
      </c>
      <c r="NI58" s="145">
        <f t="shared" si="45"/>
        <v>-3.8461538461538464E-2</v>
      </c>
      <c r="NJ58" s="145">
        <f t="shared" ref="NJ58:NY62" si="46">(FP58-FO58)/FP58</f>
        <v>-0.15555555555555556</v>
      </c>
      <c r="NK58" s="145">
        <f t="shared" si="46"/>
        <v>-0.18421052631578946</v>
      </c>
      <c r="NL58" s="145">
        <f t="shared" si="46"/>
        <v>-0.22580645161290322</v>
      </c>
      <c r="NM58" s="145">
        <f t="shared" si="46"/>
        <v>-0.19230769230769232</v>
      </c>
      <c r="NN58" s="145">
        <f t="shared" si="46"/>
        <v>0.43478260869565216</v>
      </c>
      <c r="NO58" s="145">
        <f t="shared" si="46"/>
        <v>0.3235294117647059</v>
      </c>
      <c r="NP58" s="145">
        <f t="shared" si="46"/>
        <v>0.26881720430107525</v>
      </c>
      <c r="NQ58" s="145">
        <f t="shared" si="46"/>
        <v>0.3007518796992481</v>
      </c>
      <c r="NR58" s="145">
        <f t="shared" si="46"/>
        <v>-2.3076923076923078E-2</v>
      </c>
      <c r="NS58" s="145">
        <f t="shared" si="46"/>
        <v>2.9850746268656716E-2</v>
      </c>
      <c r="NT58" s="145">
        <f t="shared" si="46"/>
        <v>4.2857142857142858E-2</v>
      </c>
      <c r="NU58" s="145">
        <f t="shared" si="46"/>
        <v>-2.1897810218978103E-2</v>
      </c>
      <c r="NV58" s="145">
        <f t="shared" si="46"/>
        <v>-3.007518796992481E-2</v>
      </c>
      <c r="NW58" s="145">
        <f t="shared" si="46"/>
        <v>-9.0163934426229511E-2</v>
      </c>
      <c r="NX58" s="145">
        <f t="shared" si="46"/>
        <v>7.575757575757576E-2</v>
      </c>
      <c r="NY58" s="145">
        <f t="shared" si="46"/>
        <v>0</v>
      </c>
      <c r="NZ58" s="145">
        <f t="shared" ref="NX58:OL62" si="47">(GF58-GE58)/GF58</f>
        <v>1.4925373134328358E-2</v>
      </c>
      <c r="OA58" s="145">
        <f t="shared" si="47"/>
        <v>-0.17543859649122806</v>
      </c>
      <c r="OB58" s="145">
        <f t="shared" si="47"/>
        <v>-1.7857142857142856E-2</v>
      </c>
      <c r="OC58" s="145">
        <f t="shared" si="47"/>
        <v>-0.13131313131313133</v>
      </c>
      <c r="OD58" s="145">
        <f t="shared" si="47"/>
        <v>0</v>
      </c>
      <c r="OE58" s="145">
        <f t="shared" si="47"/>
        <v>0.1</v>
      </c>
      <c r="OF58" s="145">
        <f t="shared" si="47"/>
        <v>0.17293233082706766</v>
      </c>
      <c r="OG58" s="145">
        <f t="shared" si="47"/>
        <v>0.15822784810126583</v>
      </c>
      <c r="OH58" s="145">
        <f t="shared" si="47"/>
        <v>0</v>
      </c>
      <c r="OI58" s="145">
        <f t="shared" si="47"/>
        <v>-0.1366906474820144</v>
      </c>
      <c r="OJ58" s="145">
        <f t="shared" si="47"/>
        <v>0.16766467065868262</v>
      </c>
      <c r="OK58" s="145">
        <f t="shared" si="47"/>
        <v>1.1834319526627219E-2</v>
      </c>
      <c r="OL58" s="145">
        <f t="shared" si="47"/>
        <v>2.8735632183908046E-2</v>
      </c>
    </row>
    <row r="59" spans="1:402" s="145" customFormat="1" ht="19.5" customHeight="1" x14ac:dyDescent="0.35">
      <c r="A59" s="12" t="s">
        <v>31</v>
      </c>
      <c r="B59" s="156"/>
      <c r="C59" s="156"/>
      <c r="D59" s="156"/>
      <c r="E59" s="156"/>
      <c r="F59" s="156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>
        <v>9</v>
      </c>
      <c r="DK59" s="143">
        <v>11</v>
      </c>
      <c r="DL59" s="143">
        <v>13</v>
      </c>
      <c r="DM59" s="143">
        <v>15</v>
      </c>
      <c r="DN59" s="143">
        <v>10</v>
      </c>
      <c r="DO59" s="143">
        <v>12</v>
      </c>
      <c r="DP59" s="143">
        <v>9</v>
      </c>
      <c r="DQ59" s="143">
        <v>13</v>
      </c>
      <c r="DR59" s="143">
        <v>5</v>
      </c>
      <c r="DS59" s="143">
        <v>11</v>
      </c>
      <c r="DT59" s="143">
        <v>13</v>
      </c>
      <c r="DU59" s="143">
        <v>12</v>
      </c>
      <c r="DV59" s="143">
        <v>11</v>
      </c>
      <c r="DW59" s="143">
        <v>10</v>
      </c>
      <c r="DX59" s="143">
        <v>14</v>
      </c>
      <c r="DY59" s="143">
        <v>12</v>
      </c>
      <c r="DZ59" s="143">
        <v>20</v>
      </c>
      <c r="EA59" s="143">
        <v>9</v>
      </c>
      <c r="EB59" s="143">
        <v>6</v>
      </c>
      <c r="EC59" s="143">
        <v>14</v>
      </c>
      <c r="ED59" s="143">
        <v>7</v>
      </c>
      <c r="EE59" s="143">
        <v>9</v>
      </c>
      <c r="EF59" s="143">
        <v>7</v>
      </c>
      <c r="EG59" s="143">
        <v>7</v>
      </c>
      <c r="EH59" s="143">
        <v>13</v>
      </c>
      <c r="EI59" s="143">
        <v>16</v>
      </c>
      <c r="EJ59" s="143">
        <v>19</v>
      </c>
      <c r="EK59" s="143">
        <v>19</v>
      </c>
      <c r="EL59" s="143">
        <v>20</v>
      </c>
      <c r="EM59" s="143">
        <v>12</v>
      </c>
      <c r="EN59" s="143">
        <v>10</v>
      </c>
      <c r="EO59" s="143">
        <v>11</v>
      </c>
      <c r="EP59" s="143">
        <v>9</v>
      </c>
      <c r="EQ59" s="143">
        <v>15</v>
      </c>
      <c r="ER59" s="143">
        <v>19</v>
      </c>
      <c r="ES59" s="143">
        <v>13</v>
      </c>
      <c r="ET59" s="143">
        <v>27</v>
      </c>
      <c r="EU59" s="143">
        <v>16</v>
      </c>
      <c r="EV59" s="143">
        <v>10</v>
      </c>
      <c r="EW59" s="143">
        <v>10</v>
      </c>
      <c r="EX59" s="143">
        <v>20</v>
      </c>
      <c r="EY59" s="143">
        <v>32</v>
      </c>
      <c r="EZ59" s="143">
        <v>17</v>
      </c>
      <c r="FA59" s="143">
        <v>21</v>
      </c>
      <c r="FB59" s="143">
        <v>30</v>
      </c>
      <c r="FC59" s="143">
        <v>25</v>
      </c>
      <c r="FD59" s="143">
        <v>32</v>
      </c>
      <c r="FE59" s="143">
        <v>22</v>
      </c>
      <c r="FF59" s="143">
        <v>35</v>
      </c>
      <c r="FG59" s="143">
        <v>31</v>
      </c>
      <c r="FH59" s="143">
        <v>36</v>
      </c>
      <c r="FI59" s="143">
        <v>28</v>
      </c>
      <c r="FJ59" s="143">
        <v>33</v>
      </c>
      <c r="FK59" s="143">
        <v>26</v>
      </c>
      <c r="FL59" s="143">
        <v>27</v>
      </c>
      <c r="FM59" s="143">
        <v>20</v>
      </c>
      <c r="FN59" s="143">
        <v>24</v>
      </c>
      <c r="FO59" s="143">
        <v>20</v>
      </c>
      <c r="FP59" s="143">
        <v>27</v>
      </c>
      <c r="FQ59" s="143">
        <v>24</v>
      </c>
      <c r="FR59" s="143">
        <v>28</v>
      </c>
      <c r="FS59" s="143">
        <v>24</v>
      </c>
      <c r="FT59" s="143">
        <v>20</v>
      </c>
      <c r="FU59" s="143">
        <v>36</v>
      </c>
      <c r="FV59" s="143">
        <v>30</v>
      </c>
      <c r="FW59" s="143">
        <v>21</v>
      </c>
      <c r="FX59" s="143">
        <v>16</v>
      </c>
      <c r="FY59" s="143">
        <v>17</v>
      </c>
      <c r="FZ59" s="143">
        <v>18</v>
      </c>
      <c r="GA59" s="143">
        <v>18</v>
      </c>
      <c r="GB59" s="143">
        <v>17</v>
      </c>
      <c r="GC59" s="143">
        <v>13</v>
      </c>
      <c r="GD59" s="143">
        <v>17</v>
      </c>
      <c r="GE59" s="143">
        <v>23</v>
      </c>
      <c r="GF59" s="143">
        <v>23</v>
      </c>
      <c r="GG59" s="143">
        <v>36</v>
      </c>
      <c r="GH59" s="143">
        <v>21</v>
      </c>
      <c r="GI59" s="143">
        <v>17</v>
      </c>
      <c r="GJ59" s="143">
        <v>16</v>
      </c>
      <c r="GK59" s="143">
        <v>13</v>
      </c>
      <c r="GL59" s="143">
        <v>9</v>
      </c>
      <c r="GM59" s="143">
        <v>17</v>
      </c>
      <c r="GN59" s="143">
        <v>20</v>
      </c>
      <c r="GO59" s="143">
        <v>15</v>
      </c>
      <c r="GP59" s="143">
        <v>28</v>
      </c>
      <c r="GQ59" s="143">
        <v>39</v>
      </c>
      <c r="GR59" s="143">
        <v>32</v>
      </c>
      <c r="GS59" s="143">
        <f t="shared" ref="GS59:GS62" si="48">SUM(GG59:GR59)/12</f>
        <v>21.916666666666668</v>
      </c>
      <c r="GT59" s="152"/>
      <c r="GU59" s="12" t="s">
        <v>31</v>
      </c>
      <c r="LE59" s="145">
        <f t="shared" si="43"/>
        <v>0.22222222222222221</v>
      </c>
      <c r="LF59" s="145">
        <f t="shared" si="43"/>
        <v>0.18181818181818182</v>
      </c>
      <c r="LG59" s="145">
        <f t="shared" si="43"/>
        <v>0.15384615384615385</v>
      </c>
      <c r="LH59" s="145">
        <f t="shared" si="43"/>
        <v>-0.33333333333333331</v>
      </c>
      <c r="LI59" s="145">
        <f t="shared" si="43"/>
        <v>0.2</v>
      </c>
      <c r="LJ59" s="145">
        <f t="shared" si="43"/>
        <v>-0.25</v>
      </c>
      <c r="LK59" s="145">
        <f t="shared" si="43"/>
        <v>0.44444444444444442</v>
      </c>
      <c r="LL59" s="145">
        <f t="shared" si="43"/>
        <v>-0.61538461538461542</v>
      </c>
      <c r="LM59" s="145">
        <f t="shared" si="43"/>
        <v>1.2</v>
      </c>
      <c r="LN59" s="145">
        <f t="shared" si="43"/>
        <v>0.18181818181818182</v>
      </c>
      <c r="LO59" s="145">
        <f t="shared" si="43"/>
        <v>-7.6923076923076927E-2</v>
      </c>
      <c r="LP59" s="145">
        <f t="shared" si="43"/>
        <v>-8.3333333333333329E-2</v>
      </c>
      <c r="LQ59" s="145">
        <f t="shared" si="43"/>
        <v>-9.0909090909090912E-2</v>
      </c>
      <c r="LR59" s="145">
        <f t="shared" si="43"/>
        <v>0.4</v>
      </c>
      <c r="LS59" s="145">
        <f t="shared" si="43"/>
        <v>-0.14285714285714285</v>
      </c>
      <c r="LT59" s="145">
        <f t="shared" si="43"/>
        <v>0.66666666666666663</v>
      </c>
      <c r="LU59" s="145">
        <f t="shared" si="44"/>
        <v>-0.55000000000000004</v>
      </c>
      <c r="LV59" s="145">
        <f t="shared" si="44"/>
        <v>-0.33333333333333331</v>
      </c>
      <c r="LW59" s="145">
        <f t="shared" si="44"/>
        <v>1.3333333333333333</v>
      </c>
      <c r="LX59" s="145">
        <f t="shared" si="44"/>
        <v>-0.5</v>
      </c>
      <c r="LY59" s="145">
        <f t="shared" si="44"/>
        <v>0.2857142857142857</v>
      </c>
      <c r="LZ59" s="145">
        <f t="shared" si="44"/>
        <v>-0.22222222222222221</v>
      </c>
      <c r="MA59" s="145">
        <f t="shared" si="44"/>
        <v>0</v>
      </c>
      <c r="MB59" s="145">
        <f t="shared" si="44"/>
        <v>0.8571428571428571</v>
      </c>
      <c r="MC59" s="145">
        <f t="shared" si="44"/>
        <v>0.23076923076923078</v>
      </c>
      <c r="MD59" s="145">
        <f t="shared" si="44"/>
        <v>0.1875</v>
      </c>
      <c r="ME59" s="145">
        <f t="shared" si="44"/>
        <v>0</v>
      </c>
      <c r="MF59" s="145">
        <f t="shared" si="44"/>
        <v>5.2631578947368418E-2</v>
      </c>
      <c r="MG59" s="145">
        <f t="shared" si="44"/>
        <v>-0.4</v>
      </c>
      <c r="MH59" s="145">
        <f t="shared" si="44"/>
        <v>-0.16666666666666666</v>
      </c>
      <c r="MI59" s="145">
        <f t="shared" si="44"/>
        <v>0.1</v>
      </c>
      <c r="MJ59" s="145">
        <f t="shared" si="44"/>
        <v>-0.18181818181818182</v>
      </c>
      <c r="MK59" s="145">
        <f t="shared" si="44"/>
        <v>0.66666666666666663</v>
      </c>
      <c r="ML59" s="145">
        <f t="shared" si="44"/>
        <v>0.26666666666666666</v>
      </c>
      <c r="MM59" s="145">
        <f t="shared" si="44"/>
        <v>-0.31578947368421051</v>
      </c>
      <c r="MN59" s="145">
        <f t="shared" si="44"/>
        <v>1.0769230769230769</v>
      </c>
      <c r="MO59" s="145">
        <f t="shared" si="44"/>
        <v>-0.40740740740740738</v>
      </c>
      <c r="MP59" s="145">
        <f t="shared" si="44"/>
        <v>-0.375</v>
      </c>
      <c r="MQ59" s="145">
        <f t="shared" si="44"/>
        <v>0</v>
      </c>
      <c r="MR59" s="145">
        <f t="shared" si="44"/>
        <v>1</v>
      </c>
      <c r="MS59" s="145">
        <f>(EZ59-EY59)/EY59</f>
        <v>-0.46875</v>
      </c>
      <c r="MT59" s="145">
        <f t="shared" si="45"/>
        <v>-0.88235294117647056</v>
      </c>
      <c r="MU59" s="145">
        <f t="shared" si="45"/>
        <v>0.19047619047619047</v>
      </c>
      <c r="MV59" s="145">
        <f t="shared" si="45"/>
        <v>0.3</v>
      </c>
      <c r="MW59" s="145">
        <f t="shared" si="45"/>
        <v>-0.2</v>
      </c>
      <c r="MX59" s="145">
        <f t="shared" si="45"/>
        <v>0.21875</v>
      </c>
      <c r="MY59" s="145">
        <f t="shared" si="45"/>
        <v>-0.45454545454545453</v>
      </c>
      <c r="MZ59" s="145">
        <f t="shared" si="45"/>
        <v>0.37142857142857144</v>
      </c>
      <c r="NA59" s="145">
        <f t="shared" si="45"/>
        <v>-0.12903225806451613</v>
      </c>
      <c r="NB59" s="145">
        <f t="shared" si="45"/>
        <v>0.1388888888888889</v>
      </c>
      <c r="NC59" s="145">
        <f t="shared" si="45"/>
        <v>-0.2857142857142857</v>
      </c>
      <c r="ND59" s="145">
        <f t="shared" si="45"/>
        <v>0.15151515151515152</v>
      </c>
      <c r="NE59" s="145">
        <f t="shared" si="45"/>
        <v>-0.26923076923076922</v>
      </c>
      <c r="NF59" s="145">
        <f t="shared" si="45"/>
        <v>3.7037037037037035E-2</v>
      </c>
      <c r="NG59" s="145">
        <f t="shared" si="45"/>
        <v>-0.35</v>
      </c>
      <c r="NH59" s="145">
        <f t="shared" si="45"/>
        <v>0.16666666666666666</v>
      </c>
      <c r="NI59" s="145">
        <f t="shared" si="45"/>
        <v>-0.2</v>
      </c>
      <c r="NJ59" s="145">
        <f t="shared" si="46"/>
        <v>0.25925925925925924</v>
      </c>
      <c r="NK59" s="145">
        <f t="shared" si="46"/>
        <v>-0.125</v>
      </c>
      <c r="NL59" s="145">
        <f t="shared" si="46"/>
        <v>0.14285714285714285</v>
      </c>
      <c r="NM59" s="145">
        <f t="shared" si="46"/>
        <v>-0.16666666666666666</v>
      </c>
      <c r="NN59" s="145">
        <f t="shared" si="46"/>
        <v>-0.2</v>
      </c>
      <c r="NO59" s="145">
        <f t="shared" si="46"/>
        <v>0.44444444444444442</v>
      </c>
      <c r="NP59" s="145">
        <f t="shared" si="46"/>
        <v>-0.2</v>
      </c>
      <c r="NQ59" s="145">
        <f t="shared" si="46"/>
        <v>-0.42857142857142855</v>
      </c>
      <c r="NR59" s="145">
        <f t="shared" si="46"/>
        <v>-0.3125</v>
      </c>
      <c r="NS59" s="145">
        <f t="shared" si="46"/>
        <v>5.8823529411764705E-2</v>
      </c>
      <c r="NT59" s="145">
        <f t="shared" si="46"/>
        <v>5.5555555555555552E-2</v>
      </c>
      <c r="NU59" s="145">
        <f t="shared" si="46"/>
        <v>0</v>
      </c>
      <c r="NV59" s="145">
        <f t="shared" si="46"/>
        <v>-5.8823529411764705E-2</v>
      </c>
      <c r="NW59" s="145">
        <f t="shared" si="46"/>
        <v>-0.30769230769230771</v>
      </c>
      <c r="NX59" s="145">
        <f t="shared" si="47"/>
        <v>0.23529411764705882</v>
      </c>
      <c r="NY59" s="145">
        <f t="shared" si="47"/>
        <v>0.2608695652173913</v>
      </c>
      <c r="NZ59" s="145">
        <f t="shared" si="47"/>
        <v>0</v>
      </c>
      <c r="OA59" s="145">
        <f t="shared" si="47"/>
        <v>0.3611111111111111</v>
      </c>
      <c r="OB59" s="145">
        <f t="shared" si="47"/>
        <v>-0.7142857142857143</v>
      </c>
      <c r="OC59" s="145">
        <f t="shared" si="47"/>
        <v>-0.23529411764705882</v>
      </c>
      <c r="OD59" s="145">
        <f t="shared" si="47"/>
        <v>-6.25E-2</v>
      </c>
      <c r="OE59" s="145">
        <f t="shared" si="47"/>
        <v>-0.23076923076923078</v>
      </c>
      <c r="OF59" s="145">
        <f t="shared" si="47"/>
        <v>-0.44444444444444442</v>
      </c>
      <c r="OG59" s="145">
        <f t="shared" si="47"/>
        <v>0.47058823529411764</v>
      </c>
      <c r="OH59" s="145">
        <f t="shared" si="47"/>
        <v>0.15</v>
      </c>
      <c r="OI59" s="145">
        <f t="shared" si="47"/>
        <v>-0.33333333333333331</v>
      </c>
      <c r="OJ59" s="145">
        <f t="shared" si="47"/>
        <v>0.4642857142857143</v>
      </c>
      <c r="OK59" s="145">
        <f t="shared" si="47"/>
        <v>0.28205128205128205</v>
      </c>
      <c r="OL59" s="145">
        <f t="shared" si="47"/>
        <v>-0.21875</v>
      </c>
    </row>
    <row r="60" spans="1:402" s="145" customFormat="1" ht="19.5" customHeight="1" x14ac:dyDescent="0.35">
      <c r="A60" s="12" t="s">
        <v>32</v>
      </c>
      <c r="B60" s="156">
        <v>11</v>
      </c>
      <c r="C60" s="156">
        <v>7</v>
      </c>
      <c r="D60" s="156">
        <v>6</v>
      </c>
      <c r="E60" s="156">
        <v>8</v>
      </c>
      <c r="F60" s="156">
        <f>'[1]Jan 08'!C23</f>
        <v>15</v>
      </c>
      <c r="G60" s="143">
        <f>'[1]Feb 08'!C23</f>
        <v>13</v>
      </c>
      <c r="H60" s="143">
        <f>'[1]Mar 08'!C23</f>
        <v>8</v>
      </c>
      <c r="I60" s="143">
        <v>12</v>
      </c>
      <c r="J60" s="143">
        <f>'[1]May 08'!C23</f>
        <v>14</v>
      </c>
      <c r="K60" s="143">
        <f>'[1]Jun 08'!C23</f>
        <v>16</v>
      </c>
      <c r="L60" s="143">
        <f>'[1]Jul 08'!C23</f>
        <v>10</v>
      </c>
      <c r="M60" s="143">
        <f>'[1]Aug 08'!C23</f>
        <v>8</v>
      </c>
      <c r="N60" s="143">
        <v>9</v>
      </c>
      <c r="O60" s="143">
        <v>6</v>
      </c>
      <c r="P60" s="143">
        <v>8</v>
      </c>
      <c r="Q60" s="143">
        <v>7</v>
      </c>
      <c r="R60" s="143">
        <v>7</v>
      </c>
      <c r="S60" s="143">
        <v>8</v>
      </c>
      <c r="T60" s="143">
        <v>8</v>
      </c>
      <c r="U60" s="143">
        <v>16</v>
      </c>
      <c r="V60" s="143">
        <v>16</v>
      </c>
      <c r="W60" s="143">
        <v>15</v>
      </c>
      <c r="X60" s="143">
        <v>11</v>
      </c>
      <c r="Y60" s="143">
        <v>17</v>
      </c>
      <c r="Z60" s="143">
        <v>23</v>
      </c>
      <c r="AA60" s="143">
        <v>14</v>
      </c>
      <c r="AB60" s="143">
        <v>18</v>
      </c>
      <c r="AC60" s="143">
        <v>20</v>
      </c>
      <c r="AD60" s="143">
        <v>19</v>
      </c>
      <c r="AE60" s="143">
        <v>19</v>
      </c>
      <c r="AF60" s="143">
        <v>17</v>
      </c>
      <c r="AG60" s="143">
        <v>17</v>
      </c>
      <c r="AH60" s="143">
        <v>22</v>
      </c>
      <c r="AI60" s="143">
        <v>18</v>
      </c>
      <c r="AJ60" s="143">
        <v>13</v>
      </c>
      <c r="AK60" s="143">
        <v>12</v>
      </c>
      <c r="AL60" s="143">
        <v>10</v>
      </c>
      <c r="AM60" s="143">
        <v>8</v>
      </c>
      <c r="AN60" s="143">
        <v>12</v>
      </c>
      <c r="AO60" s="143">
        <v>9</v>
      </c>
      <c r="AP60" s="143">
        <v>9</v>
      </c>
      <c r="AQ60" s="143">
        <v>17</v>
      </c>
      <c r="AR60" s="143">
        <v>13</v>
      </c>
      <c r="AS60" s="143">
        <v>17</v>
      </c>
      <c r="AT60" s="143">
        <v>15</v>
      </c>
      <c r="AU60" s="143">
        <v>16</v>
      </c>
      <c r="AV60" s="143">
        <v>17</v>
      </c>
      <c r="AW60" s="143">
        <v>8</v>
      </c>
      <c r="AX60" s="143">
        <v>13</v>
      </c>
      <c r="AY60" s="143">
        <v>6</v>
      </c>
      <c r="AZ60" s="143">
        <v>9</v>
      </c>
      <c r="BA60" s="143">
        <v>13</v>
      </c>
      <c r="BB60" s="143">
        <v>10</v>
      </c>
      <c r="BC60" s="143">
        <v>9</v>
      </c>
      <c r="BD60" s="143">
        <v>14</v>
      </c>
      <c r="BE60" s="143">
        <v>15</v>
      </c>
      <c r="BF60" s="143">
        <v>11</v>
      </c>
      <c r="BG60" s="143">
        <v>14</v>
      </c>
      <c r="BH60" s="143">
        <v>11</v>
      </c>
      <c r="BI60" s="143">
        <v>10</v>
      </c>
      <c r="BJ60" s="143">
        <v>12</v>
      </c>
      <c r="BK60" s="143">
        <v>13</v>
      </c>
      <c r="BL60" s="143">
        <v>12</v>
      </c>
      <c r="BM60" s="143">
        <v>9</v>
      </c>
      <c r="BN60" s="143">
        <v>12</v>
      </c>
      <c r="BO60" s="143">
        <v>15</v>
      </c>
      <c r="BP60" s="143">
        <v>16</v>
      </c>
      <c r="BQ60" s="143">
        <v>26</v>
      </c>
      <c r="BR60" s="143">
        <v>28</v>
      </c>
      <c r="BS60" s="143">
        <v>19</v>
      </c>
      <c r="BT60" s="143">
        <v>19</v>
      </c>
      <c r="BU60" s="143">
        <v>17</v>
      </c>
      <c r="BV60" s="143">
        <v>20</v>
      </c>
      <c r="BW60" s="143">
        <v>21</v>
      </c>
      <c r="BX60" s="143">
        <v>20</v>
      </c>
      <c r="BY60" s="143">
        <v>21</v>
      </c>
      <c r="BZ60" s="143">
        <v>22</v>
      </c>
      <c r="CA60" s="143">
        <v>21</v>
      </c>
      <c r="CB60" s="143">
        <v>23</v>
      </c>
      <c r="CC60" s="143">
        <v>21</v>
      </c>
      <c r="CD60" s="143">
        <v>21</v>
      </c>
      <c r="CE60" s="143">
        <v>16</v>
      </c>
      <c r="CF60" s="143">
        <v>16</v>
      </c>
      <c r="CG60" s="143">
        <v>12</v>
      </c>
      <c r="CH60" s="143">
        <v>8</v>
      </c>
      <c r="CI60" s="143">
        <v>8</v>
      </c>
      <c r="CJ60" s="143">
        <v>17</v>
      </c>
      <c r="CK60" s="143">
        <v>9</v>
      </c>
      <c r="CL60" s="143">
        <v>12</v>
      </c>
      <c r="CM60" s="143">
        <v>11</v>
      </c>
      <c r="CN60" s="143">
        <v>15</v>
      </c>
      <c r="CO60" s="143">
        <v>19</v>
      </c>
      <c r="CP60" s="143">
        <v>16</v>
      </c>
      <c r="CQ60" s="143">
        <v>16</v>
      </c>
      <c r="CR60" s="143">
        <v>14</v>
      </c>
      <c r="CS60" s="143">
        <v>10</v>
      </c>
      <c r="CT60" s="143">
        <v>12</v>
      </c>
      <c r="CU60" s="143">
        <v>13</v>
      </c>
      <c r="CV60" s="143">
        <v>15</v>
      </c>
      <c r="CW60" s="143">
        <v>9</v>
      </c>
      <c r="CX60" s="143">
        <v>5</v>
      </c>
      <c r="CY60" s="143">
        <v>10</v>
      </c>
      <c r="CZ60" s="143">
        <v>15</v>
      </c>
      <c r="DA60" s="143">
        <v>18</v>
      </c>
      <c r="DB60" s="143">
        <v>18</v>
      </c>
      <c r="DC60" s="143">
        <v>8</v>
      </c>
      <c r="DD60" s="143">
        <v>8</v>
      </c>
      <c r="DE60" s="143">
        <v>10</v>
      </c>
      <c r="DF60" s="143">
        <v>9</v>
      </c>
      <c r="DG60" s="143">
        <v>9</v>
      </c>
      <c r="DH60" s="143">
        <v>12</v>
      </c>
      <c r="DI60" s="143">
        <v>9</v>
      </c>
      <c r="DJ60" s="143">
        <v>6</v>
      </c>
      <c r="DK60" s="143">
        <v>11</v>
      </c>
      <c r="DL60" s="143">
        <v>12</v>
      </c>
      <c r="DM60" s="143">
        <v>17</v>
      </c>
      <c r="DN60" s="143">
        <v>24</v>
      </c>
      <c r="DO60" s="143">
        <v>11</v>
      </c>
      <c r="DP60" s="143">
        <v>7</v>
      </c>
      <c r="DQ60" s="143">
        <v>4</v>
      </c>
      <c r="DR60" s="143">
        <v>2</v>
      </c>
      <c r="DS60" s="143">
        <v>9</v>
      </c>
      <c r="DT60" s="143">
        <v>15</v>
      </c>
      <c r="DU60" s="143">
        <v>9</v>
      </c>
      <c r="DV60" s="143">
        <v>14</v>
      </c>
      <c r="DW60" s="143">
        <v>12</v>
      </c>
      <c r="DX60" s="143">
        <v>15</v>
      </c>
      <c r="DY60" s="143">
        <v>12</v>
      </c>
      <c r="DZ60" s="143">
        <v>16</v>
      </c>
      <c r="EA60" s="143">
        <v>13</v>
      </c>
      <c r="EB60" s="143">
        <v>12</v>
      </c>
      <c r="EC60" s="143">
        <v>18</v>
      </c>
      <c r="ED60" s="143">
        <v>17</v>
      </c>
      <c r="EE60" s="143">
        <v>12</v>
      </c>
      <c r="EF60" s="143">
        <v>10</v>
      </c>
      <c r="EG60" s="143">
        <v>7</v>
      </c>
      <c r="EH60" s="143">
        <v>13</v>
      </c>
      <c r="EI60" s="143">
        <v>15</v>
      </c>
      <c r="EJ60" s="143">
        <v>16</v>
      </c>
      <c r="EK60" s="143">
        <v>22</v>
      </c>
      <c r="EL60" s="143">
        <v>20</v>
      </c>
      <c r="EM60" s="143">
        <v>14</v>
      </c>
      <c r="EN60" s="143">
        <v>6</v>
      </c>
      <c r="EO60" s="143">
        <v>11</v>
      </c>
      <c r="EP60" s="143">
        <v>12</v>
      </c>
      <c r="EQ60" s="143">
        <v>15</v>
      </c>
      <c r="ER60" s="143">
        <v>14</v>
      </c>
      <c r="ES60" s="143">
        <v>17</v>
      </c>
      <c r="ET60" s="143">
        <v>22</v>
      </c>
      <c r="EU60" s="143">
        <v>31</v>
      </c>
      <c r="EV60" s="143">
        <v>22</v>
      </c>
      <c r="EW60" s="143">
        <v>15</v>
      </c>
      <c r="EX60" s="143">
        <v>14</v>
      </c>
      <c r="EY60" s="143">
        <v>20</v>
      </c>
      <c r="EZ60" s="143">
        <v>26</v>
      </c>
      <c r="FA60" s="143">
        <v>23</v>
      </c>
      <c r="FB60" s="143">
        <v>24</v>
      </c>
      <c r="FC60" s="143">
        <v>21</v>
      </c>
      <c r="FD60" s="143">
        <v>30</v>
      </c>
      <c r="FE60" s="143">
        <v>30</v>
      </c>
      <c r="FF60" s="143">
        <v>37</v>
      </c>
      <c r="FG60" s="143">
        <v>45</v>
      </c>
      <c r="FH60" s="143">
        <v>38</v>
      </c>
      <c r="FI60" s="143">
        <v>40</v>
      </c>
      <c r="FJ60" s="143">
        <v>41</v>
      </c>
      <c r="FK60" s="143">
        <v>35</v>
      </c>
      <c r="FL60" s="143">
        <v>32</v>
      </c>
      <c r="FM60" s="143">
        <v>24</v>
      </c>
      <c r="FN60" s="143">
        <v>29</v>
      </c>
      <c r="FO60" s="143">
        <v>25</v>
      </c>
      <c r="FP60" s="143">
        <v>32</v>
      </c>
      <c r="FQ60" s="143">
        <v>25</v>
      </c>
      <c r="FR60" s="143">
        <v>37</v>
      </c>
      <c r="FS60" s="143">
        <v>40</v>
      </c>
      <c r="FT60" s="143">
        <v>45</v>
      </c>
      <c r="FU60" s="143">
        <v>38</v>
      </c>
      <c r="FV60" s="143">
        <v>41</v>
      </c>
      <c r="FW60" s="143">
        <v>27</v>
      </c>
      <c r="FX60" s="143">
        <v>34</v>
      </c>
      <c r="FY60" s="143">
        <v>30</v>
      </c>
      <c r="FZ60" s="143">
        <v>28</v>
      </c>
      <c r="GA60" s="143">
        <v>33</v>
      </c>
      <c r="GB60" s="143">
        <v>21</v>
      </c>
      <c r="GC60" s="143">
        <v>18</v>
      </c>
      <c r="GD60" s="143">
        <v>26</v>
      </c>
      <c r="GE60" s="143">
        <v>30</v>
      </c>
      <c r="GF60" s="143">
        <v>37</v>
      </c>
      <c r="GG60" s="143">
        <v>41</v>
      </c>
      <c r="GH60" s="143">
        <v>39</v>
      </c>
      <c r="GI60" s="143">
        <v>34</v>
      </c>
      <c r="GJ60" s="143">
        <v>41</v>
      </c>
      <c r="GK60" s="143">
        <v>30</v>
      </c>
      <c r="GL60" s="143">
        <v>25</v>
      </c>
      <c r="GM60" s="143">
        <v>22</v>
      </c>
      <c r="GN60" s="143">
        <v>25</v>
      </c>
      <c r="GO60" s="143">
        <v>13</v>
      </c>
      <c r="GP60" s="143">
        <v>22</v>
      </c>
      <c r="GQ60" s="143">
        <v>21</v>
      </c>
      <c r="GR60" s="143">
        <v>26</v>
      </c>
      <c r="GS60" s="143">
        <f t="shared" si="48"/>
        <v>28.25</v>
      </c>
      <c r="GT60" s="152"/>
      <c r="GU60" s="12" t="s">
        <v>32</v>
      </c>
      <c r="GV60" s="145" t="s">
        <v>30</v>
      </c>
      <c r="GW60" s="145">
        <f t="shared" ref="GW60:HL62" si="49">(C60-B60)/B60</f>
        <v>-0.36363636363636365</v>
      </c>
      <c r="GX60" s="145">
        <f t="shared" si="49"/>
        <v>-0.14285714285714285</v>
      </c>
      <c r="GY60" s="145">
        <f t="shared" si="49"/>
        <v>0.33333333333333331</v>
      </c>
      <c r="GZ60" s="145">
        <f t="shared" si="49"/>
        <v>0.875</v>
      </c>
      <c r="HA60" s="145">
        <f t="shared" si="49"/>
        <v>-0.13333333333333333</v>
      </c>
      <c r="HB60" s="145">
        <f t="shared" si="49"/>
        <v>-0.38461538461538464</v>
      </c>
      <c r="HC60" s="145">
        <f t="shared" si="49"/>
        <v>0.5</v>
      </c>
      <c r="HD60" s="145">
        <f t="shared" si="49"/>
        <v>0.16666666666666666</v>
      </c>
      <c r="HE60" s="145">
        <f t="shared" si="49"/>
        <v>0.14285714285714285</v>
      </c>
      <c r="HF60" s="145">
        <f t="shared" si="49"/>
        <v>-0.375</v>
      </c>
      <c r="HG60" s="145">
        <f t="shared" si="49"/>
        <v>-0.2</v>
      </c>
      <c r="HH60" s="145">
        <f t="shared" si="49"/>
        <v>0.125</v>
      </c>
      <c r="HI60" s="145">
        <f t="shared" si="49"/>
        <v>-0.33333333333333331</v>
      </c>
      <c r="HJ60" s="145">
        <f t="shared" si="49"/>
        <v>0.33333333333333331</v>
      </c>
      <c r="HK60" s="145">
        <f t="shared" si="49"/>
        <v>-0.125</v>
      </c>
      <c r="HL60" s="145">
        <f t="shared" si="49"/>
        <v>0</v>
      </c>
      <c r="HM60" s="145">
        <f t="shared" ref="HM60:IB62" si="50">(S60-R60)/R60</f>
        <v>0.14285714285714285</v>
      </c>
      <c r="HN60" s="145">
        <f t="shared" si="50"/>
        <v>0</v>
      </c>
      <c r="HO60" s="145">
        <f t="shared" si="50"/>
        <v>1</v>
      </c>
      <c r="HP60" s="145">
        <f t="shared" si="50"/>
        <v>0</v>
      </c>
      <c r="HQ60" s="145">
        <f t="shared" si="50"/>
        <v>-6.25E-2</v>
      </c>
      <c r="HR60" s="145">
        <f t="shared" si="50"/>
        <v>-0.26666666666666666</v>
      </c>
      <c r="HS60" s="145">
        <f t="shared" si="50"/>
        <v>0.54545454545454541</v>
      </c>
      <c r="HT60" s="145">
        <f t="shared" si="50"/>
        <v>0.35294117647058826</v>
      </c>
      <c r="HU60" s="145">
        <f t="shared" si="50"/>
        <v>-0.39130434782608697</v>
      </c>
      <c r="HV60" s="145">
        <f t="shared" si="50"/>
        <v>0.2857142857142857</v>
      </c>
      <c r="HW60" s="145">
        <f t="shared" si="50"/>
        <v>0.1111111111111111</v>
      </c>
      <c r="HX60" s="145">
        <f t="shared" si="50"/>
        <v>-0.05</v>
      </c>
      <c r="HY60" s="145">
        <f t="shared" si="50"/>
        <v>0</v>
      </c>
      <c r="HZ60" s="145">
        <f t="shared" si="50"/>
        <v>-0.10526315789473684</v>
      </c>
      <c r="IA60" s="145">
        <f t="shared" si="50"/>
        <v>0</v>
      </c>
      <c r="IB60" s="145">
        <f t="shared" si="50"/>
        <v>0.29411764705882354</v>
      </c>
      <c r="IC60" s="145">
        <f t="shared" ref="IC60:IR62" si="51">(AI60-AH60)/AH60</f>
        <v>-0.18181818181818182</v>
      </c>
      <c r="ID60" s="145">
        <f t="shared" si="51"/>
        <v>-0.27777777777777779</v>
      </c>
      <c r="IE60" s="145">
        <f t="shared" si="51"/>
        <v>-7.6923076923076927E-2</v>
      </c>
      <c r="IF60" s="145">
        <f t="shared" si="51"/>
        <v>-0.16666666666666666</v>
      </c>
      <c r="IG60" s="145">
        <f t="shared" si="51"/>
        <v>-0.2</v>
      </c>
      <c r="IH60" s="145">
        <f t="shared" si="51"/>
        <v>0.5</v>
      </c>
      <c r="II60" s="145">
        <f t="shared" si="51"/>
        <v>-0.25</v>
      </c>
      <c r="IJ60" s="145">
        <f t="shared" si="51"/>
        <v>0</v>
      </c>
      <c r="IK60" s="145">
        <f t="shared" si="51"/>
        <v>0.88888888888888884</v>
      </c>
      <c r="IL60" s="145">
        <f t="shared" si="51"/>
        <v>-0.23529411764705882</v>
      </c>
      <c r="IM60" s="145">
        <f t="shared" si="51"/>
        <v>0.30769230769230771</v>
      </c>
      <c r="IN60" s="145">
        <f t="shared" si="51"/>
        <v>-0.11764705882352941</v>
      </c>
      <c r="IO60" s="145">
        <f t="shared" si="51"/>
        <v>6.6666666666666666E-2</v>
      </c>
      <c r="IP60" s="145">
        <f t="shared" si="51"/>
        <v>6.25E-2</v>
      </c>
      <c r="IQ60" s="145">
        <f t="shared" si="51"/>
        <v>-0.52941176470588236</v>
      </c>
      <c r="IR60" s="145">
        <f t="shared" si="51"/>
        <v>0.625</v>
      </c>
      <c r="IS60" s="145">
        <f t="shared" ref="IS60:JH62" si="52">(AY60-AX60)/AX60</f>
        <v>-0.53846153846153844</v>
      </c>
      <c r="IT60" s="145">
        <f t="shared" si="52"/>
        <v>0.5</v>
      </c>
      <c r="IU60" s="145">
        <f t="shared" si="52"/>
        <v>0.44444444444444442</v>
      </c>
      <c r="IV60" s="145">
        <f t="shared" si="52"/>
        <v>-0.23076923076923078</v>
      </c>
      <c r="IW60" s="145">
        <f t="shared" si="52"/>
        <v>-0.1</v>
      </c>
      <c r="IX60" s="145">
        <f t="shared" si="52"/>
        <v>0.55555555555555558</v>
      </c>
      <c r="IY60" s="145">
        <f t="shared" si="52"/>
        <v>7.1428571428571425E-2</v>
      </c>
      <c r="IZ60" s="145">
        <f t="shared" si="52"/>
        <v>-0.26666666666666666</v>
      </c>
      <c r="JA60" s="145">
        <f t="shared" si="52"/>
        <v>0.27272727272727271</v>
      </c>
      <c r="JB60" s="145">
        <f t="shared" si="52"/>
        <v>-0.21428571428571427</v>
      </c>
      <c r="JC60" s="145">
        <f t="shared" si="52"/>
        <v>-9.0909090909090912E-2</v>
      </c>
      <c r="JD60" s="145">
        <f t="shared" si="52"/>
        <v>0.2</v>
      </c>
      <c r="JE60" s="145">
        <f t="shared" si="52"/>
        <v>8.3333333333333329E-2</v>
      </c>
      <c r="JF60" s="145">
        <f t="shared" si="52"/>
        <v>-7.6923076923076927E-2</v>
      </c>
      <c r="JG60" s="145">
        <f t="shared" si="52"/>
        <v>-0.25</v>
      </c>
      <c r="JH60" s="145">
        <f t="shared" si="52"/>
        <v>0.33333333333333331</v>
      </c>
      <c r="JI60" s="145">
        <f t="shared" ref="JI60:JX62" si="53">(BO60-BN60)/BN60</f>
        <v>0.25</v>
      </c>
      <c r="JJ60" s="145">
        <f t="shared" si="53"/>
        <v>6.6666666666666666E-2</v>
      </c>
      <c r="JK60" s="145">
        <f t="shared" si="53"/>
        <v>0.625</v>
      </c>
      <c r="JL60" s="145">
        <f t="shared" si="53"/>
        <v>7.6923076923076927E-2</v>
      </c>
      <c r="JM60" s="145">
        <f t="shared" si="53"/>
        <v>-0.32142857142857145</v>
      </c>
      <c r="JN60" s="145">
        <f t="shared" si="53"/>
        <v>0</v>
      </c>
      <c r="JO60" s="145">
        <f t="shared" si="53"/>
        <v>-0.10526315789473684</v>
      </c>
      <c r="JP60" s="145">
        <f t="shared" si="53"/>
        <v>0.17647058823529413</v>
      </c>
      <c r="JQ60" s="145">
        <f t="shared" si="53"/>
        <v>0.05</v>
      </c>
      <c r="JR60" s="145">
        <f t="shared" si="53"/>
        <v>-4.7619047619047616E-2</v>
      </c>
      <c r="JS60" s="145">
        <f t="shared" si="53"/>
        <v>0.05</v>
      </c>
      <c r="JT60" s="145">
        <f t="shared" si="53"/>
        <v>4.7619047619047616E-2</v>
      </c>
      <c r="JU60" s="145">
        <f t="shared" si="53"/>
        <v>-4.5454545454545456E-2</v>
      </c>
      <c r="JV60" s="145">
        <f t="shared" si="53"/>
        <v>9.5238095238095233E-2</v>
      </c>
      <c r="JW60" s="145">
        <f t="shared" si="53"/>
        <v>-8.6956521739130432E-2</v>
      </c>
      <c r="JX60" s="145">
        <f t="shared" si="53"/>
        <v>0</v>
      </c>
      <c r="JY60" s="145">
        <f t="shared" ref="JY60:KN62" si="54">(CE60-CD60)/CD60</f>
        <v>-0.23809523809523808</v>
      </c>
      <c r="JZ60" s="145">
        <f t="shared" si="54"/>
        <v>0</v>
      </c>
      <c r="KA60" s="145">
        <f t="shared" si="54"/>
        <v>-0.25</v>
      </c>
      <c r="KB60" s="145">
        <f t="shared" si="54"/>
        <v>-0.33333333333333331</v>
      </c>
      <c r="KC60" s="145">
        <f t="shared" si="54"/>
        <v>0</v>
      </c>
      <c r="KD60" s="145">
        <f t="shared" si="54"/>
        <v>1.125</v>
      </c>
      <c r="KE60" s="145">
        <f t="shared" si="54"/>
        <v>-0.47058823529411764</v>
      </c>
      <c r="KF60" s="145">
        <f t="shared" si="54"/>
        <v>0.33333333333333331</v>
      </c>
      <c r="KG60" s="145">
        <f t="shared" si="54"/>
        <v>-8.3333333333333329E-2</v>
      </c>
      <c r="KH60" s="145">
        <f t="shared" si="54"/>
        <v>0.36363636363636365</v>
      </c>
      <c r="KI60" s="145">
        <f t="shared" si="54"/>
        <v>0.26666666666666666</v>
      </c>
      <c r="KJ60" s="145">
        <f t="shared" si="54"/>
        <v>-0.15789473684210525</v>
      </c>
      <c r="KK60" s="145">
        <f t="shared" si="54"/>
        <v>0</v>
      </c>
      <c r="KL60" s="145">
        <f t="shared" si="54"/>
        <v>-0.125</v>
      </c>
      <c r="KM60" s="145">
        <f t="shared" si="54"/>
        <v>-0.2857142857142857</v>
      </c>
      <c r="KN60" s="145">
        <f t="shared" si="54"/>
        <v>0.2</v>
      </c>
      <c r="KO60" s="145">
        <f t="shared" ref="KO60:LD62" si="55">(CU60-CT60)/CT60</f>
        <v>8.3333333333333329E-2</v>
      </c>
      <c r="KP60" s="145">
        <f t="shared" si="55"/>
        <v>0.15384615384615385</v>
      </c>
      <c r="KQ60" s="145">
        <f t="shared" si="55"/>
        <v>-0.4</v>
      </c>
      <c r="KR60" s="145">
        <f t="shared" si="55"/>
        <v>-0.44444444444444442</v>
      </c>
      <c r="KS60" s="145">
        <f t="shared" si="55"/>
        <v>1</v>
      </c>
      <c r="KT60" s="145">
        <f t="shared" si="55"/>
        <v>0.5</v>
      </c>
      <c r="KU60" s="145">
        <f t="shared" si="55"/>
        <v>0.2</v>
      </c>
      <c r="KV60" s="145">
        <f t="shared" si="55"/>
        <v>0</v>
      </c>
      <c r="KW60" s="145">
        <f t="shared" si="55"/>
        <v>-0.55555555555555558</v>
      </c>
      <c r="KX60" s="145">
        <f t="shared" si="55"/>
        <v>0</v>
      </c>
      <c r="KY60" s="145">
        <f t="shared" si="55"/>
        <v>0.25</v>
      </c>
      <c r="KZ60" s="145">
        <f t="shared" si="55"/>
        <v>-0.1</v>
      </c>
      <c r="LA60" s="145">
        <f t="shared" si="55"/>
        <v>0</v>
      </c>
      <c r="LB60" s="145">
        <f t="shared" si="55"/>
        <v>0.33333333333333331</v>
      </c>
      <c r="LC60" s="145">
        <f t="shared" si="55"/>
        <v>-0.25</v>
      </c>
      <c r="LD60" s="145">
        <f t="shared" si="55"/>
        <v>-0.33333333333333331</v>
      </c>
      <c r="LE60" s="145">
        <f t="shared" si="43"/>
        <v>0.83333333333333337</v>
      </c>
      <c r="LF60" s="145">
        <f t="shared" si="43"/>
        <v>9.0909090909090912E-2</v>
      </c>
      <c r="LG60" s="145">
        <f t="shared" si="43"/>
        <v>0.41666666666666669</v>
      </c>
      <c r="LH60" s="145">
        <f t="shared" si="43"/>
        <v>0.41176470588235292</v>
      </c>
      <c r="LI60" s="145">
        <f t="shared" si="43"/>
        <v>-0.54166666666666663</v>
      </c>
      <c r="LJ60" s="145">
        <f t="shared" si="43"/>
        <v>-0.36363636363636365</v>
      </c>
      <c r="LK60" s="145">
        <f t="shared" si="43"/>
        <v>-0.42857142857142855</v>
      </c>
      <c r="LL60" s="145">
        <f t="shared" si="43"/>
        <v>-0.5</v>
      </c>
      <c r="LM60" s="145">
        <f t="shared" si="43"/>
        <v>3.5</v>
      </c>
      <c r="LN60" s="145">
        <f t="shared" si="43"/>
        <v>0.66666666666666663</v>
      </c>
      <c r="LO60" s="145">
        <f t="shared" si="43"/>
        <v>-0.4</v>
      </c>
      <c r="LP60" s="145">
        <f t="shared" si="43"/>
        <v>0.55555555555555558</v>
      </c>
      <c r="LQ60" s="145">
        <f t="shared" si="43"/>
        <v>-0.14285714285714285</v>
      </c>
      <c r="LR60" s="145">
        <f t="shared" si="43"/>
        <v>0.25</v>
      </c>
      <c r="LS60" s="145">
        <f t="shared" si="43"/>
        <v>-0.2</v>
      </c>
      <c r="LT60" s="145">
        <f t="shared" si="43"/>
        <v>0.33333333333333331</v>
      </c>
      <c r="LU60" s="145">
        <f t="shared" si="44"/>
        <v>-0.1875</v>
      </c>
      <c r="LV60" s="145">
        <f t="shared" si="44"/>
        <v>-7.6923076923076927E-2</v>
      </c>
      <c r="LW60" s="145">
        <f t="shared" si="44"/>
        <v>0.5</v>
      </c>
      <c r="LX60" s="145">
        <f t="shared" si="44"/>
        <v>-5.5555555555555552E-2</v>
      </c>
      <c r="LY60" s="145">
        <f t="shared" si="44"/>
        <v>-0.29411764705882354</v>
      </c>
      <c r="LZ60" s="145">
        <f t="shared" si="44"/>
        <v>-0.16666666666666666</v>
      </c>
      <c r="MA60" s="145">
        <f t="shared" si="44"/>
        <v>-0.3</v>
      </c>
      <c r="MB60" s="145">
        <f t="shared" si="44"/>
        <v>0.8571428571428571</v>
      </c>
      <c r="MC60" s="145">
        <f t="shared" si="44"/>
        <v>0.15384615384615385</v>
      </c>
      <c r="MD60" s="145">
        <f t="shared" si="44"/>
        <v>6.6666666666666666E-2</v>
      </c>
      <c r="ME60" s="145">
        <f t="shared" si="44"/>
        <v>0.375</v>
      </c>
      <c r="MF60" s="145">
        <f t="shared" si="44"/>
        <v>-9.0909090909090912E-2</v>
      </c>
      <c r="MG60" s="145">
        <f t="shared" si="44"/>
        <v>-0.3</v>
      </c>
      <c r="MH60" s="145">
        <f t="shared" si="44"/>
        <v>-0.5714285714285714</v>
      </c>
      <c r="MI60" s="145">
        <f t="shared" si="44"/>
        <v>0.83333333333333337</v>
      </c>
      <c r="MJ60" s="145">
        <f t="shared" si="44"/>
        <v>9.0909090909090912E-2</v>
      </c>
      <c r="MK60" s="145">
        <f t="shared" si="44"/>
        <v>0.25</v>
      </c>
      <c r="ML60" s="145">
        <f t="shared" si="44"/>
        <v>-6.6666666666666666E-2</v>
      </c>
      <c r="MM60" s="145">
        <f t="shared" si="44"/>
        <v>0.21428571428571427</v>
      </c>
      <c r="MN60" s="145">
        <f t="shared" si="44"/>
        <v>0.29411764705882354</v>
      </c>
      <c r="MO60" s="145">
        <f t="shared" si="44"/>
        <v>0.40909090909090912</v>
      </c>
      <c r="MP60" s="145">
        <f t="shared" si="44"/>
        <v>-0.29032258064516131</v>
      </c>
      <c r="MQ60" s="145">
        <f t="shared" si="44"/>
        <v>-0.31818181818181818</v>
      </c>
      <c r="MR60" s="145">
        <f t="shared" si="44"/>
        <v>-6.6666666666666666E-2</v>
      </c>
      <c r="MS60" s="145">
        <f>(EZ60-EY60)/EY60</f>
        <v>0.3</v>
      </c>
      <c r="MT60" s="145">
        <f t="shared" si="45"/>
        <v>0.23076923076923078</v>
      </c>
      <c r="MU60" s="145">
        <f t="shared" si="45"/>
        <v>-0.13043478260869565</v>
      </c>
      <c r="MV60" s="145">
        <f t="shared" si="45"/>
        <v>4.1666666666666664E-2</v>
      </c>
      <c r="MW60" s="145">
        <f t="shared" si="45"/>
        <v>-0.14285714285714285</v>
      </c>
      <c r="MX60" s="145">
        <f t="shared" si="45"/>
        <v>0.3</v>
      </c>
      <c r="MY60" s="145">
        <f t="shared" si="45"/>
        <v>0</v>
      </c>
      <c r="MZ60" s="145">
        <f t="shared" si="45"/>
        <v>0.1891891891891892</v>
      </c>
      <c r="NA60" s="145">
        <f t="shared" si="45"/>
        <v>0.17777777777777778</v>
      </c>
      <c r="NB60" s="145">
        <f t="shared" si="45"/>
        <v>-0.18421052631578946</v>
      </c>
      <c r="NC60" s="145">
        <f t="shared" si="45"/>
        <v>0.05</v>
      </c>
      <c r="ND60" s="145">
        <f t="shared" si="45"/>
        <v>2.4390243902439025E-2</v>
      </c>
      <c r="NE60" s="145">
        <f t="shared" si="45"/>
        <v>-0.17142857142857143</v>
      </c>
      <c r="NF60" s="145">
        <f t="shared" si="45"/>
        <v>-9.375E-2</v>
      </c>
      <c r="NG60" s="145">
        <f t="shared" si="45"/>
        <v>-0.33333333333333331</v>
      </c>
      <c r="NH60" s="145">
        <f t="shared" si="45"/>
        <v>0.17241379310344829</v>
      </c>
      <c r="NI60" s="145">
        <f t="shared" si="45"/>
        <v>-0.16</v>
      </c>
      <c r="NJ60" s="145">
        <f t="shared" si="46"/>
        <v>0.21875</v>
      </c>
      <c r="NK60" s="145">
        <f t="shared" si="46"/>
        <v>-0.28000000000000003</v>
      </c>
      <c r="NL60" s="145">
        <f t="shared" si="46"/>
        <v>0.32432432432432434</v>
      </c>
      <c r="NM60" s="145">
        <f t="shared" si="46"/>
        <v>7.4999999999999997E-2</v>
      </c>
      <c r="NN60" s="145">
        <f t="shared" si="46"/>
        <v>0.1111111111111111</v>
      </c>
      <c r="NO60" s="145">
        <f t="shared" si="46"/>
        <v>-0.18421052631578946</v>
      </c>
      <c r="NP60" s="145">
        <f t="shared" si="46"/>
        <v>7.3170731707317069E-2</v>
      </c>
      <c r="NQ60" s="145">
        <f t="shared" si="46"/>
        <v>-0.51851851851851849</v>
      </c>
      <c r="NR60" s="145">
        <f t="shared" si="46"/>
        <v>0.20588235294117646</v>
      </c>
      <c r="NS60" s="145">
        <f t="shared" si="46"/>
        <v>-0.13333333333333333</v>
      </c>
      <c r="NT60" s="145">
        <f t="shared" si="46"/>
        <v>-7.1428571428571425E-2</v>
      </c>
      <c r="NU60" s="145">
        <f t="shared" si="46"/>
        <v>0.15151515151515152</v>
      </c>
      <c r="NV60" s="145">
        <f t="shared" si="46"/>
        <v>-0.5714285714285714</v>
      </c>
      <c r="NW60" s="145">
        <f t="shared" si="46"/>
        <v>-0.16666666666666666</v>
      </c>
      <c r="NX60" s="145">
        <f t="shared" si="47"/>
        <v>0.30769230769230771</v>
      </c>
      <c r="NY60" s="145">
        <f t="shared" si="47"/>
        <v>0.13333333333333333</v>
      </c>
      <c r="NZ60" s="145">
        <f t="shared" si="47"/>
        <v>0.1891891891891892</v>
      </c>
      <c r="OA60" s="145">
        <f t="shared" si="47"/>
        <v>9.7560975609756101E-2</v>
      </c>
      <c r="OB60" s="145">
        <f t="shared" si="47"/>
        <v>-5.128205128205128E-2</v>
      </c>
      <c r="OC60" s="145">
        <f t="shared" si="47"/>
        <v>-0.14705882352941177</v>
      </c>
      <c r="OD60" s="145">
        <f t="shared" si="47"/>
        <v>0.17073170731707318</v>
      </c>
      <c r="OE60" s="145">
        <f t="shared" si="47"/>
        <v>-0.36666666666666664</v>
      </c>
      <c r="OF60" s="145">
        <f t="shared" si="47"/>
        <v>-0.2</v>
      </c>
      <c r="OG60" s="145">
        <f t="shared" si="47"/>
        <v>-0.13636363636363635</v>
      </c>
      <c r="OH60" s="145">
        <f t="shared" si="47"/>
        <v>0.12</v>
      </c>
      <c r="OI60" s="145">
        <f t="shared" si="47"/>
        <v>-0.92307692307692313</v>
      </c>
      <c r="OJ60" s="145">
        <f t="shared" si="47"/>
        <v>0.40909090909090912</v>
      </c>
      <c r="OK60" s="145">
        <f t="shared" si="47"/>
        <v>-4.7619047619047616E-2</v>
      </c>
      <c r="OL60" s="145">
        <f t="shared" si="47"/>
        <v>0.19230769230769232</v>
      </c>
    </row>
    <row r="61" spans="1:402" s="145" customFormat="1" ht="19.5" customHeight="1" x14ac:dyDescent="0.35">
      <c r="A61" s="12" t="s">
        <v>33</v>
      </c>
      <c r="B61" s="156">
        <v>7</v>
      </c>
      <c r="C61" s="156">
        <v>10</v>
      </c>
      <c r="D61" s="156">
        <v>5</v>
      </c>
      <c r="E61" s="156">
        <v>9</v>
      </c>
      <c r="F61" s="156">
        <f>'[1]Jan 08'!C25</f>
        <v>12</v>
      </c>
      <c r="G61" s="143">
        <f>'[1]Feb 08'!C25</f>
        <v>17</v>
      </c>
      <c r="H61" s="143">
        <f>'[1]Mar 08'!C25</f>
        <v>13</v>
      </c>
      <c r="I61" s="143">
        <v>5</v>
      </c>
      <c r="J61" s="143">
        <f>'[1]May 08'!C25</f>
        <v>8</v>
      </c>
      <c r="K61" s="143">
        <f>'[1]Jun 08'!C25</f>
        <v>6</v>
      </c>
      <c r="L61" s="143">
        <f>'[1]Jul 08'!C25</f>
        <v>10</v>
      </c>
      <c r="M61" s="143">
        <f>'[1]Aug 08'!C25</f>
        <v>9</v>
      </c>
      <c r="N61" s="143">
        <v>8</v>
      </c>
      <c r="O61" s="143">
        <v>8</v>
      </c>
      <c r="P61" s="143">
        <v>7</v>
      </c>
      <c r="Q61" s="143">
        <v>4</v>
      </c>
      <c r="R61" s="143">
        <v>7</v>
      </c>
      <c r="S61" s="143">
        <v>3</v>
      </c>
      <c r="T61" s="143">
        <v>9</v>
      </c>
      <c r="U61" s="143">
        <v>4</v>
      </c>
      <c r="V61" s="143">
        <v>11</v>
      </c>
      <c r="W61" s="143">
        <v>8</v>
      </c>
      <c r="X61" s="143">
        <v>13</v>
      </c>
      <c r="Y61" s="143">
        <v>6</v>
      </c>
      <c r="Z61" s="143">
        <v>10</v>
      </c>
      <c r="AA61" s="143">
        <v>12</v>
      </c>
      <c r="AB61" s="143">
        <v>8</v>
      </c>
      <c r="AC61" s="143">
        <v>13</v>
      </c>
      <c r="AD61" s="143">
        <v>12</v>
      </c>
      <c r="AE61" s="143">
        <v>10</v>
      </c>
      <c r="AF61" s="143">
        <v>16</v>
      </c>
      <c r="AG61" s="143">
        <v>8</v>
      </c>
      <c r="AH61" s="143">
        <v>10</v>
      </c>
      <c r="AI61" s="143">
        <v>11</v>
      </c>
      <c r="AJ61" s="143">
        <v>7</v>
      </c>
      <c r="AK61" s="143">
        <v>7</v>
      </c>
      <c r="AL61" s="143">
        <v>7</v>
      </c>
      <c r="AM61" s="143">
        <v>6</v>
      </c>
      <c r="AN61" s="143">
        <v>5</v>
      </c>
      <c r="AO61" s="143">
        <v>5</v>
      </c>
      <c r="AP61" s="143">
        <v>5</v>
      </c>
      <c r="AQ61" s="143">
        <v>7</v>
      </c>
      <c r="AR61" s="143">
        <v>13</v>
      </c>
      <c r="AS61" s="143">
        <v>6</v>
      </c>
      <c r="AT61" s="143">
        <v>12</v>
      </c>
      <c r="AU61" s="143">
        <v>9</v>
      </c>
      <c r="AV61" s="143">
        <v>12</v>
      </c>
      <c r="AW61" s="143">
        <v>10</v>
      </c>
      <c r="AX61" s="143">
        <v>7</v>
      </c>
      <c r="AY61" s="143">
        <v>8</v>
      </c>
      <c r="AZ61" s="143">
        <v>4</v>
      </c>
      <c r="BA61" s="143">
        <v>5</v>
      </c>
      <c r="BB61" s="143">
        <v>9</v>
      </c>
      <c r="BC61" s="143">
        <v>8</v>
      </c>
      <c r="BD61" s="143">
        <v>9</v>
      </c>
      <c r="BE61" s="143">
        <v>9</v>
      </c>
      <c r="BF61" s="143">
        <v>9</v>
      </c>
      <c r="BG61" s="143">
        <v>10</v>
      </c>
      <c r="BH61" s="143">
        <v>9</v>
      </c>
      <c r="BI61" s="143">
        <v>8</v>
      </c>
      <c r="BJ61" s="143">
        <v>4</v>
      </c>
      <c r="BK61" s="143">
        <v>7</v>
      </c>
      <c r="BL61" s="143">
        <v>11</v>
      </c>
      <c r="BM61" s="143">
        <v>11</v>
      </c>
      <c r="BN61" s="143">
        <v>9</v>
      </c>
      <c r="BO61" s="143">
        <v>15</v>
      </c>
      <c r="BP61" s="143">
        <v>14</v>
      </c>
      <c r="BQ61" s="143">
        <v>7</v>
      </c>
      <c r="BR61" s="143">
        <v>17</v>
      </c>
      <c r="BS61" s="143">
        <v>19</v>
      </c>
      <c r="BT61" s="143">
        <v>9</v>
      </c>
      <c r="BU61" s="143">
        <v>10</v>
      </c>
      <c r="BV61" s="143">
        <v>9</v>
      </c>
      <c r="BW61" s="143">
        <v>5</v>
      </c>
      <c r="BX61" s="143">
        <v>10</v>
      </c>
      <c r="BY61" s="143">
        <v>15</v>
      </c>
      <c r="BZ61" s="143">
        <v>10</v>
      </c>
      <c r="CA61" s="143">
        <v>12</v>
      </c>
      <c r="CB61" s="143">
        <v>9</v>
      </c>
      <c r="CC61" s="143">
        <v>15</v>
      </c>
      <c r="CD61" s="143">
        <v>13</v>
      </c>
      <c r="CE61" s="143">
        <v>20</v>
      </c>
      <c r="CF61" s="143">
        <v>8</v>
      </c>
      <c r="CG61" s="143">
        <v>8</v>
      </c>
      <c r="CH61" s="143">
        <v>13</v>
      </c>
      <c r="CI61" s="143">
        <v>8</v>
      </c>
      <c r="CJ61" s="143">
        <v>5</v>
      </c>
      <c r="CK61" s="143">
        <v>16</v>
      </c>
      <c r="CL61" s="143">
        <v>7</v>
      </c>
      <c r="CM61" s="143">
        <v>11</v>
      </c>
      <c r="CN61" s="143">
        <v>8</v>
      </c>
      <c r="CO61" s="143">
        <v>12</v>
      </c>
      <c r="CP61" s="143">
        <v>10</v>
      </c>
      <c r="CQ61" s="143">
        <v>19</v>
      </c>
      <c r="CR61" s="143">
        <v>8</v>
      </c>
      <c r="CS61" s="143">
        <v>11</v>
      </c>
      <c r="CT61" s="143">
        <v>5</v>
      </c>
      <c r="CU61" s="143">
        <v>7</v>
      </c>
      <c r="CV61" s="143">
        <v>10</v>
      </c>
      <c r="CW61" s="143">
        <v>12</v>
      </c>
      <c r="CX61" s="143">
        <v>11</v>
      </c>
      <c r="CY61" s="143">
        <v>9</v>
      </c>
      <c r="CZ61" s="143">
        <v>14</v>
      </c>
      <c r="DA61" s="143">
        <v>18</v>
      </c>
      <c r="DB61" s="143">
        <v>17</v>
      </c>
      <c r="DC61" s="143">
        <v>15</v>
      </c>
      <c r="DD61" s="143">
        <v>8</v>
      </c>
      <c r="DE61" s="143">
        <v>10</v>
      </c>
      <c r="DF61" s="143">
        <v>7</v>
      </c>
      <c r="DG61" s="143">
        <v>7</v>
      </c>
      <c r="DH61" s="143">
        <v>14</v>
      </c>
      <c r="DI61" s="143">
        <v>14</v>
      </c>
      <c r="DJ61" s="143">
        <v>12</v>
      </c>
      <c r="DK61" s="143">
        <v>7</v>
      </c>
      <c r="DL61" s="143">
        <v>18</v>
      </c>
      <c r="DM61" s="143">
        <v>10</v>
      </c>
      <c r="DN61" s="143">
        <v>16</v>
      </c>
      <c r="DO61" s="143">
        <v>24</v>
      </c>
      <c r="DP61" s="143">
        <v>19</v>
      </c>
      <c r="DQ61" s="143">
        <v>10</v>
      </c>
      <c r="DR61" s="143">
        <v>12</v>
      </c>
      <c r="DS61" s="143">
        <v>4</v>
      </c>
      <c r="DT61" s="143">
        <v>11</v>
      </c>
      <c r="DU61" s="143">
        <v>17</v>
      </c>
      <c r="DV61" s="143">
        <v>18</v>
      </c>
      <c r="DW61" s="143">
        <v>13</v>
      </c>
      <c r="DX61" s="143">
        <v>18</v>
      </c>
      <c r="DY61" s="143">
        <v>15</v>
      </c>
      <c r="DZ61" s="143">
        <v>11</v>
      </c>
      <c r="EA61" s="143">
        <v>27</v>
      </c>
      <c r="EB61" s="143">
        <v>16</v>
      </c>
      <c r="EC61" s="143">
        <v>10</v>
      </c>
      <c r="ED61" s="143">
        <v>21</v>
      </c>
      <c r="EE61" s="143">
        <v>20</v>
      </c>
      <c r="EF61" s="143">
        <v>18</v>
      </c>
      <c r="EG61" s="143">
        <v>16</v>
      </c>
      <c r="EH61" s="143">
        <v>12</v>
      </c>
      <c r="EI61" s="143">
        <v>15</v>
      </c>
      <c r="EJ61" s="143">
        <v>17</v>
      </c>
      <c r="EK61" s="143">
        <v>31</v>
      </c>
      <c r="EL61" s="143">
        <v>30</v>
      </c>
      <c r="EM61" s="143">
        <v>27</v>
      </c>
      <c r="EN61" s="143">
        <v>23</v>
      </c>
      <c r="EO61" s="143">
        <v>13</v>
      </c>
      <c r="EP61" s="143">
        <v>9</v>
      </c>
      <c r="EQ61" s="143">
        <v>14</v>
      </c>
      <c r="ER61" s="143">
        <v>19</v>
      </c>
      <c r="ES61" s="143">
        <v>22</v>
      </c>
      <c r="ET61" s="143">
        <v>14</v>
      </c>
      <c r="EU61" s="143">
        <v>32</v>
      </c>
      <c r="EV61" s="143">
        <v>32</v>
      </c>
      <c r="EW61" s="143">
        <v>21</v>
      </c>
      <c r="EX61" s="143">
        <v>16</v>
      </c>
      <c r="EY61" s="143">
        <v>23</v>
      </c>
      <c r="EZ61" s="143">
        <v>36</v>
      </c>
      <c r="FA61" s="143">
        <v>26</v>
      </c>
      <c r="FB61" s="143">
        <v>43</v>
      </c>
      <c r="FC61" s="143">
        <v>43</v>
      </c>
      <c r="FD61" s="143">
        <v>25</v>
      </c>
      <c r="FE61" s="143">
        <v>45</v>
      </c>
      <c r="FF61" s="143">
        <v>30</v>
      </c>
      <c r="FG61" s="143">
        <v>49</v>
      </c>
      <c r="FH61" s="143">
        <v>58</v>
      </c>
      <c r="FI61" s="143">
        <v>50</v>
      </c>
      <c r="FJ61" s="143">
        <v>65</v>
      </c>
      <c r="FK61" s="143">
        <v>71</v>
      </c>
      <c r="FL61" s="143">
        <v>49</v>
      </c>
      <c r="FM61" s="143">
        <v>56</v>
      </c>
      <c r="FN61" s="143">
        <v>31</v>
      </c>
      <c r="FO61" s="143">
        <v>38</v>
      </c>
      <c r="FP61" s="143">
        <v>33</v>
      </c>
      <c r="FQ61" s="143">
        <v>55</v>
      </c>
      <c r="FR61" s="143">
        <v>46</v>
      </c>
      <c r="FS61" s="143">
        <v>56</v>
      </c>
      <c r="FT61" s="143">
        <v>57</v>
      </c>
      <c r="FU61" s="143">
        <v>55</v>
      </c>
      <c r="FV61" s="143">
        <v>55</v>
      </c>
      <c r="FW61" s="143">
        <v>62</v>
      </c>
      <c r="FX61" s="143">
        <v>32</v>
      </c>
      <c r="FY61" s="143">
        <v>45</v>
      </c>
      <c r="FZ61" s="143">
        <v>34</v>
      </c>
      <c r="GA61" s="143">
        <v>29</v>
      </c>
      <c r="GB61" s="143">
        <v>37</v>
      </c>
      <c r="GC61" s="143">
        <v>28</v>
      </c>
      <c r="GD61" s="143">
        <v>26</v>
      </c>
      <c r="GE61" s="143">
        <v>27</v>
      </c>
      <c r="GF61" s="143">
        <v>43</v>
      </c>
      <c r="GG61" s="143">
        <v>46</v>
      </c>
      <c r="GH61" s="143">
        <v>57</v>
      </c>
      <c r="GI61" s="143">
        <v>51</v>
      </c>
      <c r="GJ61" s="143">
        <v>34</v>
      </c>
      <c r="GK61" s="143">
        <v>41</v>
      </c>
      <c r="GL61" s="143">
        <v>33</v>
      </c>
      <c r="GM61" s="143">
        <v>27</v>
      </c>
      <c r="GN61" s="143">
        <v>30</v>
      </c>
      <c r="GO61" s="143">
        <v>38</v>
      </c>
      <c r="GP61" s="143">
        <v>31</v>
      </c>
      <c r="GQ61" s="143">
        <v>53</v>
      </c>
      <c r="GR61" s="143">
        <v>47</v>
      </c>
      <c r="GS61" s="143">
        <f t="shared" si="48"/>
        <v>40.666666666666664</v>
      </c>
      <c r="GT61" s="152"/>
      <c r="GU61" s="12" t="s">
        <v>33</v>
      </c>
      <c r="GV61" s="145" t="s">
        <v>30</v>
      </c>
      <c r="GW61" s="145">
        <f t="shared" si="49"/>
        <v>0.42857142857142855</v>
      </c>
      <c r="GX61" s="145">
        <f t="shared" si="49"/>
        <v>-0.5</v>
      </c>
      <c r="GY61" s="145">
        <f t="shared" si="49"/>
        <v>0.8</v>
      </c>
      <c r="GZ61" s="145">
        <f t="shared" si="49"/>
        <v>0.33333333333333331</v>
      </c>
      <c r="HA61" s="145">
        <f t="shared" si="49"/>
        <v>0.41666666666666669</v>
      </c>
      <c r="HB61" s="145">
        <f t="shared" si="49"/>
        <v>-0.23529411764705882</v>
      </c>
      <c r="HC61" s="145">
        <f t="shared" si="49"/>
        <v>-0.61538461538461542</v>
      </c>
      <c r="HD61" s="145">
        <f t="shared" si="49"/>
        <v>0.6</v>
      </c>
      <c r="HE61" s="145">
        <f t="shared" si="49"/>
        <v>-0.25</v>
      </c>
      <c r="HF61" s="145">
        <f t="shared" si="49"/>
        <v>0.66666666666666663</v>
      </c>
      <c r="HG61" s="145">
        <f t="shared" si="49"/>
        <v>-0.1</v>
      </c>
      <c r="HH61" s="145">
        <f t="shared" si="49"/>
        <v>-0.1111111111111111</v>
      </c>
      <c r="HI61" s="145">
        <f t="shared" si="49"/>
        <v>0</v>
      </c>
      <c r="HJ61" s="145">
        <f t="shared" si="49"/>
        <v>-0.125</v>
      </c>
      <c r="HK61" s="145">
        <f t="shared" si="49"/>
        <v>-0.42857142857142855</v>
      </c>
      <c r="HL61" s="145">
        <f t="shared" si="49"/>
        <v>0.75</v>
      </c>
      <c r="HM61" s="145">
        <f t="shared" si="50"/>
        <v>-0.5714285714285714</v>
      </c>
      <c r="HN61" s="145">
        <f t="shared" si="50"/>
        <v>2</v>
      </c>
      <c r="HO61" s="145">
        <f t="shared" si="50"/>
        <v>-0.55555555555555558</v>
      </c>
      <c r="HP61" s="145">
        <f t="shared" si="50"/>
        <v>1.75</v>
      </c>
      <c r="HQ61" s="145">
        <f t="shared" si="50"/>
        <v>-0.27272727272727271</v>
      </c>
      <c r="HR61" s="145">
        <f t="shared" si="50"/>
        <v>0.625</v>
      </c>
      <c r="HS61" s="145">
        <f t="shared" si="50"/>
        <v>-0.53846153846153844</v>
      </c>
      <c r="HT61" s="145">
        <f t="shared" si="50"/>
        <v>0.66666666666666663</v>
      </c>
      <c r="HU61" s="145">
        <f t="shared" si="50"/>
        <v>0.2</v>
      </c>
      <c r="HV61" s="145">
        <f t="shared" si="50"/>
        <v>-0.33333333333333331</v>
      </c>
      <c r="HW61" s="145">
        <f t="shared" si="50"/>
        <v>0.625</v>
      </c>
      <c r="HX61" s="145">
        <f t="shared" si="50"/>
        <v>-7.6923076923076927E-2</v>
      </c>
      <c r="HY61" s="145">
        <f t="shared" si="50"/>
        <v>-0.16666666666666666</v>
      </c>
      <c r="HZ61" s="145">
        <f t="shared" si="50"/>
        <v>0.6</v>
      </c>
      <c r="IA61" s="145">
        <f t="shared" si="50"/>
        <v>-0.5</v>
      </c>
      <c r="IB61" s="145">
        <f t="shared" si="50"/>
        <v>0.25</v>
      </c>
      <c r="IC61" s="145">
        <f t="shared" si="51"/>
        <v>0.1</v>
      </c>
      <c r="ID61" s="145">
        <f t="shared" si="51"/>
        <v>-0.36363636363636365</v>
      </c>
      <c r="IE61" s="145">
        <f t="shared" si="51"/>
        <v>0</v>
      </c>
      <c r="IF61" s="145">
        <f t="shared" si="51"/>
        <v>0</v>
      </c>
      <c r="IG61" s="145">
        <f t="shared" si="51"/>
        <v>-0.14285714285714285</v>
      </c>
      <c r="IH61" s="145">
        <f t="shared" si="51"/>
        <v>-0.16666666666666666</v>
      </c>
      <c r="II61" s="145">
        <f t="shared" si="51"/>
        <v>0</v>
      </c>
      <c r="IJ61" s="145">
        <f t="shared" si="51"/>
        <v>0</v>
      </c>
      <c r="IK61" s="145">
        <f t="shared" si="51"/>
        <v>0.4</v>
      </c>
      <c r="IL61" s="145">
        <f t="shared" si="51"/>
        <v>0.8571428571428571</v>
      </c>
      <c r="IM61" s="145">
        <f t="shared" si="51"/>
        <v>-0.53846153846153844</v>
      </c>
      <c r="IN61" s="145">
        <f t="shared" si="51"/>
        <v>1</v>
      </c>
      <c r="IO61" s="145">
        <f t="shared" si="51"/>
        <v>-0.25</v>
      </c>
      <c r="IP61" s="145">
        <f t="shared" si="51"/>
        <v>0.33333333333333331</v>
      </c>
      <c r="IQ61" s="145">
        <f t="shared" si="51"/>
        <v>-0.16666666666666666</v>
      </c>
      <c r="IR61" s="145">
        <f t="shared" si="51"/>
        <v>-0.3</v>
      </c>
      <c r="IS61" s="145">
        <f t="shared" si="52"/>
        <v>0.14285714285714285</v>
      </c>
      <c r="IT61" s="145">
        <f t="shared" si="52"/>
        <v>-0.5</v>
      </c>
      <c r="IU61" s="145">
        <f t="shared" si="52"/>
        <v>0.25</v>
      </c>
      <c r="IV61" s="145">
        <f t="shared" si="52"/>
        <v>0.8</v>
      </c>
      <c r="IW61" s="145">
        <f t="shared" si="52"/>
        <v>-0.1111111111111111</v>
      </c>
      <c r="IX61" s="145">
        <f t="shared" si="52"/>
        <v>0.125</v>
      </c>
      <c r="IY61" s="145">
        <f t="shared" si="52"/>
        <v>0</v>
      </c>
      <c r="IZ61" s="145">
        <f t="shared" si="52"/>
        <v>0</v>
      </c>
      <c r="JA61" s="145">
        <f t="shared" si="52"/>
        <v>0.1111111111111111</v>
      </c>
      <c r="JB61" s="145">
        <f t="shared" si="52"/>
        <v>-0.1</v>
      </c>
      <c r="JC61" s="145">
        <f t="shared" si="52"/>
        <v>-0.1111111111111111</v>
      </c>
      <c r="JD61" s="145">
        <f t="shared" si="52"/>
        <v>-0.5</v>
      </c>
      <c r="JE61" s="145">
        <f t="shared" si="52"/>
        <v>0.75</v>
      </c>
      <c r="JF61" s="145">
        <f t="shared" si="52"/>
        <v>0.5714285714285714</v>
      </c>
      <c r="JG61" s="145">
        <f t="shared" si="52"/>
        <v>0</v>
      </c>
      <c r="JH61" s="145">
        <f t="shared" si="52"/>
        <v>-0.18181818181818182</v>
      </c>
      <c r="JI61" s="145">
        <f t="shared" si="53"/>
        <v>0.66666666666666663</v>
      </c>
      <c r="JJ61" s="145">
        <f t="shared" si="53"/>
        <v>-6.6666666666666666E-2</v>
      </c>
      <c r="JK61" s="145">
        <f t="shared" si="53"/>
        <v>-0.5</v>
      </c>
      <c r="JL61" s="145">
        <f t="shared" si="53"/>
        <v>1.4285714285714286</v>
      </c>
      <c r="JM61" s="145">
        <f t="shared" si="53"/>
        <v>0.11764705882352941</v>
      </c>
      <c r="JN61" s="145">
        <f t="shared" si="53"/>
        <v>-0.52631578947368418</v>
      </c>
      <c r="JO61" s="145">
        <f t="shared" si="53"/>
        <v>0.1111111111111111</v>
      </c>
      <c r="JP61" s="145">
        <f t="shared" si="53"/>
        <v>-0.1</v>
      </c>
      <c r="JQ61" s="145">
        <f t="shared" si="53"/>
        <v>-0.44444444444444442</v>
      </c>
      <c r="JR61" s="145">
        <f t="shared" si="53"/>
        <v>1</v>
      </c>
      <c r="JS61" s="145">
        <f t="shared" si="53"/>
        <v>0.5</v>
      </c>
      <c r="JT61" s="145">
        <f t="shared" si="53"/>
        <v>-0.33333333333333331</v>
      </c>
      <c r="JU61" s="145">
        <f t="shared" si="53"/>
        <v>0.2</v>
      </c>
      <c r="JV61" s="145">
        <f t="shared" si="53"/>
        <v>-0.25</v>
      </c>
      <c r="JW61" s="145">
        <f t="shared" si="53"/>
        <v>0.66666666666666663</v>
      </c>
      <c r="JX61" s="145">
        <f t="shared" si="53"/>
        <v>-0.13333333333333333</v>
      </c>
      <c r="JY61" s="145">
        <f t="shared" si="54"/>
        <v>0.53846153846153844</v>
      </c>
      <c r="JZ61" s="145">
        <f t="shared" si="54"/>
        <v>-0.6</v>
      </c>
      <c r="KA61" s="145">
        <f t="shared" si="54"/>
        <v>0</v>
      </c>
      <c r="KB61" s="145">
        <f t="shared" si="54"/>
        <v>0.625</v>
      </c>
      <c r="KC61" s="145">
        <f t="shared" si="54"/>
        <v>-0.38461538461538464</v>
      </c>
      <c r="KD61" s="145">
        <f t="shared" si="54"/>
        <v>-0.375</v>
      </c>
      <c r="KE61" s="145">
        <f t="shared" si="54"/>
        <v>2.2000000000000002</v>
      </c>
      <c r="KF61" s="145">
        <f t="shared" si="54"/>
        <v>-0.5625</v>
      </c>
      <c r="KG61" s="145">
        <f t="shared" si="54"/>
        <v>0.5714285714285714</v>
      </c>
      <c r="KH61" s="145">
        <f t="shared" si="54"/>
        <v>-0.27272727272727271</v>
      </c>
      <c r="KI61" s="145">
        <f t="shared" si="54"/>
        <v>0.5</v>
      </c>
      <c r="KJ61" s="145">
        <f t="shared" si="54"/>
        <v>-0.16666666666666666</v>
      </c>
      <c r="KK61" s="145">
        <f t="shared" si="54"/>
        <v>0.9</v>
      </c>
      <c r="KL61" s="145">
        <f t="shared" si="54"/>
        <v>-0.57894736842105265</v>
      </c>
      <c r="KM61" s="145">
        <f t="shared" si="54"/>
        <v>0.375</v>
      </c>
      <c r="KN61" s="145">
        <f t="shared" si="54"/>
        <v>-0.54545454545454541</v>
      </c>
      <c r="KO61" s="145">
        <f t="shared" si="55"/>
        <v>0.4</v>
      </c>
      <c r="KP61" s="145">
        <f t="shared" si="55"/>
        <v>0.42857142857142855</v>
      </c>
      <c r="KQ61" s="145">
        <f t="shared" si="55"/>
        <v>0.2</v>
      </c>
      <c r="KR61" s="145">
        <f t="shared" si="55"/>
        <v>-8.3333333333333329E-2</v>
      </c>
      <c r="KS61" s="145">
        <f t="shared" si="55"/>
        <v>-0.18181818181818182</v>
      </c>
      <c r="KT61" s="145">
        <f t="shared" si="55"/>
        <v>0.55555555555555558</v>
      </c>
      <c r="KU61" s="145">
        <f t="shared" si="55"/>
        <v>0.2857142857142857</v>
      </c>
      <c r="KV61" s="145">
        <f t="shared" si="55"/>
        <v>-5.5555555555555552E-2</v>
      </c>
      <c r="KW61" s="145">
        <f t="shared" si="55"/>
        <v>-0.11764705882352941</v>
      </c>
      <c r="KX61" s="145">
        <f t="shared" si="55"/>
        <v>-0.46666666666666667</v>
      </c>
      <c r="KY61" s="145">
        <f t="shared" si="55"/>
        <v>0.25</v>
      </c>
      <c r="KZ61" s="145">
        <f t="shared" si="55"/>
        <v>-0.3</v>
      </c>
      <c r="LA61" s="145">
        <f t="shared" si="55"/>
        <v>0</v>
      </c>
      <c r="LB61" s="145">
        <f t="shared" si="55"/>
        <v>1</v>
      </c>
      <c r="LC61" s="145">
        <f t="shared" si="55"/>
        <v>0</v>
      </c>
      <c r="LD61" s="145">
        <f t="shared" si="55"/>
        <v>-0.14285714285714285</v>
      </c>
      <c r="LE61" s="145">
        <f t="shared" si="43"/>
        <v>-0.41666666666666669</v>
      </c>
      <c r="LF61" s="145">
        <f t="shared" si="43"/>
        <v>1.5714285714285714</v>
      </c>
      <c r="LG61" s="145">
        <f t="shared" si="43"/>
        <v>-0.44444444444444442</v>
      </c>
      <c r="LH61" s="145">
        <f t="shared" si="43"/>
        <v>0.6</v>
      </c>
      <c r="LI61" s="145">
        <f t="shared" si="43"/>
        <v>0.5</v>
      </c>
      <c r="LJ61" s="145">
        <f t="shared" si="43"/>
        <v>-0.20833333333333334</v>
      </c>
      <c r="LK61" s="145">
        <f t="shared" si="43"/>
        <v>-0.47368421052631576</v>
      </c>
      <c r="LL61" s="145">
        <f t="shared" si="43"/>
        <v>0.2</v>
      </c>
      <c r="LM61" s="145">
        <f t="shared" si="43"/>
        <v>-0.66666666666666663</v>
      </c>
      <c r="LN61" s="145">
        <f t="shared" si="43"/>
        <v>1.75</v>
      </c>
      <c r="LO61" s="145">
        <f t="shared" si="43"/>
        <v>0.54545454545454541</v>
      </c>
      <c r="LP61" s="145">
        <f t="shared" si="43"/>
        <v>5.8823529411764705E-2</v>
      </c>
      <c r="LQ61" s="145">
        <f t="shared" si="43"/>
        <v>-0.27777777777777779</v>
      </c>
      <c r="LR61" s="145">
        <f t="shared" si="43"/>
        <v>0.38461538461538464</v>
      </c>
      <c r="LS61" s="145">
        <f t="shared" si="43"/>
        <v>-0.16666666666666666</v>
      </c>
      <c r="LT61" s="145">
        <f t="shared" si="43"/>
        <v>-0.26666666666666666</v>
      </c>
      <c r="LU61" s="145">
        <f t="shared" si="44"/>
        <v>1.4545454545454546</v>
      </c>
      <c r="LV61" s="145">
        <f t="shared" si="44"/>
        <v>-0.40740740740740738</v>
      </c>
      <c r="LW61" s="145">
        <f t="shared" si="44"/>
        <v>-0.375</v>
      </c>
      <c r="LX61" s="145">
        <f t="shared" si="44"/>
        <v>1.1000000000000001</v>
      </c>
      <c r="LY61" s="145">
        <f t="shared" si="44"/>
        <v>-4.7619047619047616E-2</v>
      </c>
      <c r="LZ61" s="145">
        <f t="shared" si="44"/>
        <v>-0.1</v>
      </c>
      <c r="MA61" s="145">
        <f t="shared" si="44"/>
        <v>-0.1111111111111111</v>
      </c>
      <c r="MB61" s="145">
        <f t="shared" si="44"/>
        <v>-0.25</v>
      </c>
      <c r="MC61" s="145">
        <f t="shared" si="44"/>
        <v>0.25</v>
      </c>
      <c r="MD61" s="145">
        <f t="shared" si="44"/>
        <v>0.13333333333333333</v>
      </c>
      <c r="ME61" s="145">
        <f t="shared" si="44"/>
        <v>0.82352941176470584</v>
      </c>
      <c r="MF61" s="145">
        <f t="shared" si="44"/>
        <v>-3.2258064516129031E-2</v>
      </c>
      <c r="MG61" s="145">
        <f t="shared" si="44"/>
        <v>-0.1</v>
      </c>
      <c r="MH61" s="145">
        <f t="shared" si="44"/>
        <v>-0.14814814814814814</v>
      </c>
      <c r="MI61" s="145">
        <f t="shared" si="44"/>
        <v>-0.43478260869565216</v>
      </c>
      <c r="MJ61" s="145">
        <f t="shared" si="44"/>
        <v>-0.30769230769230771</v>
      </c>
      <c r="MK61" s="145">
        <f t="shared" si="44"/>
        <v>0.55555555555555558</v>
      </c>
      <c r="ML61" s="145">
        <f t="shared" si="44"/>
        <v>0.35714285714285715</v>
      </c>
      <c r="MM61" s="145">
        <f t="shared" si="44"/>
        <v>0.15789473684210525</v>
      </c>
      <c r="MN61" s="145">
        <f t="shared" si="44"/>
        <v>-0.36363636363636365</v>
      </c>
      <c r="MO61" s="145">
        <f t="shared" si="44"/>
        <v>1.2857142857142858</v>
      </c>
      <c r="MP61" s="145">
        <f t="shared" si="44"/>
        <v>0</v>
      </c>
      <c r="MQ61" s="145">
        <f t="shared" si="44"/>
        <v>-0.34375</v>
      </c>
      <c r="MR61" s="145">
        <f t="shared" si="44"/>
        <v>-0.23809523809523808</v>
      </c>
      <c r="MS61" s="145">
        <f>(EZ61-EY61)/EY61</f>
        <v>0.56521739130434778</v>
      </c>
      <c r="MT61" s="145">
        <f t="shared" si="45"/>
        <v>0.3611111111111111</v>
      </c>
      <c r="MU61" s="145">
        <f t="shared" si="45"/>
        <v>-0.38461538461538464</v>
      </c>
      <c r="MV61" s="145">
        <f t="shared" si="45"/>
        <v>0.39534883720930231</v>
      </c>
      <c r="MW61" s="145">
        <f t="shared" si="45"/>
        <v>0</v>
      </c>
      <c r="MX61" s="145">
        <f t="shared" si="45"/>
        <v>-0.72</v>
      </c>
      <c r="MY61" s="145">
        <f t="shared" si="45"/>
        <v>0.44444444444444442</v>
      </c>
      <c r="MZ61" s="145">
        <f t="shared" si="45"/>
        <v>-0.5</v>
      </c>
      <c r="NA61" s="145">
        <f t="shared" si="45"/>
        <v>0.38775510204081631</v>
      </c>
      <c r="NB61" s="145">
        <f t="shared" si="45"/>
        <v>0.15517241379310345</v>
      </c>
      <c r="NC61" s="145">
        <f t="shared" si="45"/>
        <v>-0.16</v>
      </c>
      <c r="ND61" s="145">
        <f t="shared" si="45"/>
        <v>0.23076923076923078</v>
      </c>
      <c r="NE61" s="145">
        <f t="shared" si="45"/>
        <v>8.4507042253521125E-2</v>
      </c>
      <c r="NF61" s="145">
        <f t="shared" si="45"/>
        <v>-0.44897959183673469</v>
      </c>
      <c r="NG61" s="145">
        <f t="shared" si="45"/>
        <v>0.125</v>
      </c>
      <c r="NH61" s="145">
        <f t="shared" si="45"/>
        <v>-0.80645161290322576</v>
      </c>
      <c r="NI61" s="145">
        <f t="shared" si="45"/>
        <v>0.18421052631578946</v>
      </c>
      <c r="NJ61" s="145">
        <f t="shared" si="46"/>
        <v>-0.15151515151515152</v>
      </c>
      <c r="NK61" s="145">
        <f t="shared" si="46"/>
        <v>0.4</v>
      </c>
      <c r="NL61" s="145">
        <f t="shared" si="46"/>
        <v>-0.19565217391304349</v>
      </c>
      <c r="NM61" s="145">
        <f t="shared" si="46"/>
        <v>0.17857142857142858</v>
      </c>
      <c r="NN61" s="145">
        <f t="shared" si="46"/>
        <v>1.7543859649122806E-2</v>
      </c>
      <c r="NO61" s="145">
        <f t="shared" si="46"/>
        <v>-3.6363636363636362E-2</v>
      </c>
      <c r="NP61" s="145">
        <f t="shared" si="46"/>
        <v>0</v>
      </c>
      <c r="NQ61" s="145">
        <f t="shared" si="46"/>
        <v>0.11290322580645161</v>
      </c>
      <c r="NR61" s="145">
        <f t="shared" si="46"/>
        <v>-0.9375</v>
      </c>
      <c r="NS61" s="145">
        <f t="shared" si="46"/>
        <v>0.28888888888888886</v>
      </c>
      <c r="NT61" s="145">
        <f t="shared" si="46"/>
        <v>-0.3235294117647059</v>
      </c>
      <c r="NU61" s="145">
        <f t="shared" si="46"/>
        <v>-0.17241379310344829</v>
      </c>
      <c r="NV61" s="145">
        <f t="shared" si="46"/>
        <v>0.21621621621621623</v>
      </c>
      <c r="NW61" s="145">
        <f t="shared" si="46"/>
        <v>-0.32142857142857145</v>
      </c>
      <c r="NX61" s="145">
        <f t="shared" si="47"/>
        <v>-7.6923076923076927E-2</v>
      </c>
      <c r="NY61" s="145">
        <f t="shared" si="47"/>
        <v>3.7037037037037035E-2</v>
      </c>
      <c r="NZ61" s="145">
        <f t="shared" si="47"/>
        <v>0.37209302325581395</v>
      </c>
      <c r="OA61" s="145">
        <f t="shared" si="47"/>
        <v>6.5217391304347824E-2</v>
      </c>
      <c r="OB61" s="145">
        <f t="shared" si="47"/>
        <v>0.19298245614035087</v>
      </c>
      <c r="OC61" s="145">
        <f t="shared" si="47"/>
        <v>-0.11764705882352941</v>
      </c>
      <c r="OD61" s="145">
        <f t="shared" si="47"/>
        <v>-0.5</v>
      </c>
      <c r="OE61" s="145">
        <f t="shared" si="47"/>
        <v>0.17073170731707318</v>
      </c>
      <c r="OF61" s="145">
        <f t="shared" si="47"/>
        <v>-0.24242424242424243</v>
      </c>
      <c r="OG61" s="145">
        <f t="shared" si="47"/>
        <v>-0.22222222222222221</v>
      </c>
      <c r="OH61" s="145">
        <f t="shared" si="47"/>
        <v>0.1</v>
      </c>
      <c r="OI61" s="145">
        <f t="shared" si="47"/>
        <v>0.21052631578947367</v>
      </c>
      <c r="OJ61" s="145">
        <f t="shared" si="47"/>
        <v>-0.22580645161290322</v>
      </c>
      <c r="OK61" s="145">
        <f t="shared" si="47"/>
        <v>0.41509433962264153</v>
      </c>
      <c r="OL61" s="145">
        <f t="shared" si="47"/>
        <v>-0.1276595744680851</v>
      </c>
    </row>
    <row r="62" spans="1:402" s="145" customFormat="1" ht="19.5" customHeight="1" x14ac:dyDescent="0.35">
      <c r="A62" s="12" t="s">
        <v>34</v>
      </c>
      <c r="B62" s="156">
        <v>10</v>
      </c>
      <c r="C62" s="156">
        <v>11</v>
      </c>
      <c r="D62" s="156">
        <v>5</v>
      </c>
      <c r="E62" s="156">
        <v>17</v>
      </c>
      <c r="F62" s="156">
        <f>'[1]Jan 08'!C27</f>
        <v>11</v>
      </c>
      <c r="G62" s="143">
        <f>'[1]Feb 08'!C27</f>
        <v>6</v>
      </c>
      <c r="H62" s="143">
        <f>'[1]Mar 08'!C27</f>
        <v>7</v>
      </c>
      <c r="I62" s="143">
        <v>8</v>
      </c>
      <c r="J62" s="143">
        <f>'[1]May 08'!C27</f>
        <v>17</v>
      </c>
      <c r="K62" s="143">
        <f>'[1]Jun 08'!C27</f>
        <v>22</v>
      </c>
      <c r="L62" s="143">
        <f>'[1]Jul 08'!C27</f>
        <v>15</v>
      </c>
      <c r="M62" s="143">
        <f>'[1]Aug 08'!C27</f>
        <v>19</v>
      </c>
      <c r="N62" s="143">
        <v>10</v>
      </c>
      <c r="O62" s="143">
        <v>18</v>
      </c>
      <c r="P62" s="143">
        <v>9</v>
      </c>
      <c r="Q62" s="143">
        <v>24</v>
      </c>
      <c r="R62" s="143">
        <v>20</v>
      </c>
      <c r="S62" s="143">
        <v>8</v>
      </c>
      <c r="T62" s="143">
        <v>9</v>
      </c>
      <c r="U62" s="143">
        <v>9</v>
      </c>
      <c r="V62" s="143">
        <v>12</v>
      </c>
      <c r="W62" s="143">
        <v>20</v>
      </c>
      <c r="X62" s="143">
        <v>13</v>
      </c>
      <c r="Y62" s="143">
        <v>5</v>
      </c>
      <c r="Z62" s="143">
        <v>10</v>
      </c>
      <c r="AA62" s="143">
        <v>12</v>
      </c>
      <c r="AB62" s="143">
        <v>5</v>
      </c>
      <c r="AC62" s="143">
        <v>9</v>
      </c>
      <c r="AD62" s="143">
        <v>6</v>
      </c>
      <c r="AE62" s="143">
        <v>3</v>
      </c>
      <c r="AF62" s="143">
        <v>8</v>
      </c>
      <c r="AG62" s="143">
        <v>9</v>
      </c>
      <c r="AH62" s="143">
        <v>10</v>
      </c>
      <c r="AI62" s="143">
        <v>13</v>
      </c>
      <c r="AJ62" s="143">
        <v>7</v>
      </c>
      <c r="AK62" s="143">
        <v>4</v>
      </c>
      <c r="AL62" s="143">
        <v>3</v>
      </c>
      <c r="AM62" s="143">
        <v>9</v>
      </c>
      <c r="AN62" s="143">
        <v>3</v>
      </c>
      <c r="AO62" s="143">
        <v>8</v>
      </c>
      <c r="AP62" s="143">
        <v>6</v>
      </c>
      <c r="AQ62" s="143">
        <v>2</v>
      </c>
      <c r="AR62" s="143">
        <v>4</v>
      </c>
      <c r="AS62" s="143">
        <v>6</v>
      </c>
      <c r="AT62" s="143">
        <v>9</v>
      </c>
      <c r="AU62" s="143">
        <v>9</v>
      </c>
      <c r="AV62" s="143">
        <v>2</v>
      </c>
      <c r="AW62" s="143">
        <v>6</v>
      </c>
      <c r="AX62" s="143">
        <v>2</v>
      </c>
      <c r="AY62" s="143">
        <v>4</v>
      </c>
      <c r="AZ62" s="143">
        <v>4</v>
      </c>
      <c r="BA62" s="143">
        <v>1</v>
      </c>
      <c r="BB62" s="143">
        <v>5</v>
      </c>
      <c r="BC62" s="143">
        <v>1</v>
      </c>
      <c r="BD62" s="143">
        <v>2</v>
      </c>
      <c r="BE62" s="143">
        <v>3</v>
      </c>
      <c r="BF62" s="143">
        <v>10</v>
      </c>
      <c r="BG62" s="143">
        <v>4</v>
      </c>
      <c r="BH62" s="143">
        <v>3</v>
      </c>
      <c r="BI62" s="143">
        <v>4</v>
      </c>
      <c r="BJ62" s="143">
        <v>4</v>
      </c>
      <c r="BK62" s="143">
        <v>4</v>
      </c>
      <c r="BL62" s="143">
        <v>1</v>
      </c>
      <c r="BM62" s="143">
        <v>3</v>
      </c>
      <c r="BN62" s="143">
        <v>0</v>
      </c>
      <c r="BO62" s="143">
        <v>2</v>
      </c>
      <c r="BP62" s="143">
        <v>2</v>
      </c>
      <c r="BQ62" s="143">
        <v>3</v>
      </c>
      <c r="BR62" s="143">
        <v>8</v>
      </c>
      <c r="BS62" s="143">
        <v>8</v>
      </c>
      <c r="BT62" s="143">
        <v>3</v>
      </c>
      <c r="BU62" s="143">
        <v>1</v>
      </c>
      <c r="BV62" s="143">
        <v>1</v>
      </c>
      <c r="BW62" s="143">
        <v>2</v>
      </c>
      <c r="BX62" s="143">
        <v>4</v>
      </c>
      <c r="BY62" s="143">
        <v>5</v>
      </c>
      <c r="BZ62" s="143">
        <v>4</v>
      </c>
      <c r="CA62" s="143">
        <v>3</v>
      </c>
      <c r="CB62" s="143">
        <v>3</v>
      </c>
      <c r="CC62" s="143">
        <v>4</v>
      </c>
      <c r="CD62" s="143">
        <v>9</v>
      </c>
      <c r="CE62" s="143">
        <v>11</v>
      </c>
      <c r="CF62" s="143">
        <v>7</v>
      </c>
      <c r="CG62" s="143">
        <v>3</v>
      </c>
      <c r="CH62" s="143">
        <v>4</v>
      </c>
      <c r="CI62" s="143">
        <v>1</v>
      </c>
      <c r="CJ62" s="143">
        <v>3</v>
      </c>
      <c r="CK62" s="143">
        <v>3</v>
      </c>
      <c r="CL62" s="143">
        <v>1</v>
      </c>
      <c r="CM62" s="143">
        <v>2</v>
      </c>
      <c r="CN62" s="143">
        <v>6</v>
      </c>
      <c r="CO62" s="143">
        <v>5</v>
      </c>
      <c r="CP62" s="143">
        <v>10</v>
      </c>
      <c r="CQ62" s="143">
        <v>9</v>
      </c>
      <c r="CR62" s="143">
        <v>1</v>
      </c>
      <c r="CS62" s="143">
        <v>3</v>
      </c>
      <c r="CT62" s="143">
        <v>5</v>
      </c>
      <c r="CU62" s="143">
        <v>1</v>
      </c>
      <c r="CV62" s="143">
        <v>4</v>
      </c>
      <c r="CW62" s="143">
        <v>6</v>
      </c>
      <c r="CX62" s="143">
        <v>3</v>
      </c>
      <c r="CY62" s="143">
        <v>2</v>
      </c>
      <c r="CZ62" s="143">
        <v>1</v>
      </c>
      <c r="DA62" s="143">
        <v>6</v>
      </c>
      <c r="DB62" s="143">
        <v>8</v>
      </c>
      <c r="DC62" s="143">
        <v>6</v>
      </c>
      <c r="DD62" s="143">
        <v>7</v>
      </c>
      <c r="DE62" s="143">
        <v>2</v>
      </c>
      <c r="DF62" s="143">
        <v>3</v>
      </c>
      <c r="DG62" s="143">
        <v>1</v>
      </c>
      <c r="DH62" s="143">
        <v>2</v>
      </c>
      <c r="DI62" s="143">
        <v>5</v>
      </c>
      <c r="DJ62" s="143">
        <v>2</v>
      </c>
      <c r="DK62" s="143">
        <v>3</v>
      </c>
      <c r="DL62" s="143">
        <v>2</v>
      </c>
      <c r="DM62" s="143">
        <v>2</v>
      </c>
      <c r="DN62" s="143">
        <v>14</v>
      </c>
      <c r="DO62" s="143">
        <v>11</v>
      </c>
      <c r="DP62" s="143">
        <v>8</v>
      </c>
      <c r="DQ62" s="143">
        <v>3</v>
      </c>
      <c r="DR62" s="143">
        <v>2</v>
      </c>
      <c r="DS62" s="143">
        <v>1</v>
      </c>
      <c r="DT62" s="143">
        <v>3</v>
      </c>
      <c r="DU62" s="143">
        <v>7</v>
      </c>
      <c r="DV62" s="143">
        <v>3</v>
      </c>
      <c r="DW62" s="143">
        <v>4</v>
      </c>
      <c r="DX62" s="143">
        <v>3</v>
      </c>
      <c r="DY62" s="143">
        <v>8</v>
      </c>
      <c r="DZ62" s="143">
        <v>14</v>
      </c>
      <c r="EA62" s="143">
        <v>16</v>
      </c>
      <c r="EB62" s="143">
        <v>6</v>
      </c>
      <c r="EC62" s="143">
        <v>5</v>
      </c>
      <c r="ED62" s="143">
        <v>3</v>
      </c>
      <c r="EE62" s="143">
        <v>6</v>
      </c>
      <c r="EF62" s="143">
        <v>2</v>
      </c>
      <c r="EG62" s="143">
        <v>10</v>
      </c>
      <c r="EH62" s="143">
        <v>1</v>
      </c>
      <c r="EI62" s="143">
        <v>4</v>
      </c>
      <c r="EJ62" s="143">
        <v>5</v>
      </c>
      <c r="EK62" s="143">
        <v>7</v>
      </c>
      <c r="EL62" s="143">
        <v>6</v>
      </c>
      <c r="EM62" s="143">
        <v>14</v>
      </c>
      <c r="EN62" s="143">
        <v>8</v>
      </c>
      <c r="EO62" s="143">
        <v>2</v>
      </c>
      <c r="EP62" s="143">
        <v>5</v>
      </c>
      <c r="EQ62" s="143">
        <v>5</v>
      </c>
      <c r="ER62" s="143">
        <v>1</v>
      </c>
      <c r="ES62" s="143">
        <v>7</v>
      </c>
      <c r="ET62" s="143">
        <v>5</v>
      </c>
      <c r="EU62" s="143">
        <v>0</v>
      </c>
      <c r="EV62" s="143">
        <v>4</v>
      </c>
      <c r="EW62" s="143">
        <v>3</v>
      </c>
      <c r="EX62" s="143">
        <v>3</v>
      </c>
      <c r="EY62" s="143">
        <v>1</v>
      </c>
      <c r="EZ62" s="143">
        <v>1</v>
      </c>
      <c r="FA62" s="143">
        <v>1</v>
      </c>
      <c r="FB62" s="143">
        <v>6</v>
      </c>
      <c r="FC62" s="143">
        <v>1</v>
      </c>
      <c r="FD62" s="143">
        <v>3</v>
      </c>
      <c r="FE62" s="143">
        <v>1</v>
      </c>
      <c r="FF62" s="143">
        <v>0</v>
      </c>
      <c r="FG62" s="143">
        <v>2</v>
      </c>
      <c r="FH62" s="143">
        <v>0</v>
      </c>
      <c r="FI62" s="143">
        <v>1</v>
      </c>
      <c r="FJ62" s="143">
        <v>1</v>
      </c>
      <c r="FK62" s="143">
        <v>0</v>
      </c>
      <c r="FL62" s="143">
        <v>2</v>
      </c>
      <c r="FM62" s="143">
        <v>0</v>
      </c>
      <c r="FN62" s="143">
        <v>1</v>
      </c>
      <c r="FO62" s="143">
        <v>4</v>
      </c>
      <c r="FP62" s="143">
        <v>2</v>
      </c>
      <c r="FQ62" s="143">
        <v>2</v>
      </c>
      <c r="FR62" s="143">
        <v>1</v>
      </c>
      <c r="FS62" s="143">
        <v>0</v>
      </c>
      <c r="FT62" s="143">
        <v>2</v>
      </c>
      <c r="FU62" s="143">
        <v>3</v>
      </c>
      <c r="FV62" s="143">
        <v>2</v>
      </c>
      <c r="FW62" s="143">
        <v>4</v>
      </c>
      <c r="FX62" s="143">
        <v>6</v>
      </c>
      <c r="FY62" s="143">
        <v>5</v>
      </c>
      <c r="FZ62" s="143">
        <v>4</v>
      </c>
      <c r="GA62" s="143">
        <v>6</v>
      </c>
      <c r="GB62" s="143">
        <v>4</v>
      </c>
      <c r="GC62" s="143">
        <v>15</v>
      </c>
      <c r="GD62" s="143">
        <v>5</v>
      </c>
      <c r="GE62" s="143">
        <v>2</v>
      </c>
      <c r="GF62" s="143">
        <v>2</v>
      </c>
      <c r="GG62" s="143">
        <v>5</v>
      </c>
      <c r="GH62" s="143">
        <v>5</v>
      </c>
      <c r="GI62" s="143">
        <v>5</v>
      </c>
      <c r="GJ62" s="143">
        <v>1</v>
      </c>
      <c r="GK62" s="143">
        <v>3</v>
      </c>
      <c r="GL62" s="143">
        <v>3</v>
      </c>
      <c r="GM62" s="143">
        <v>4</v>
      </c>
      <c r="GN62" s="143">
        <v>1</v>
      </c>
      <c r="GO62" s="143">
        <v>12</v>
      </c>
      <c r="GP62" s="143">
        <v>4</v>
      </c>
      <c r="GQ62" s="143">
        <v>1</v>
      </c>
      <c r="GR62" s="143">
        <v>4</v>
      </c>
      <c r="GS62" s="143">
        <f t="shared" si="48"/>
        <v>4</v>
      </c>
      <c r="GT62" s="152"/>
      <c r="GU62" s="12" t="s">
        <v>34</v>
      </c>
      <c r="GV62" s="145" t="s">
        <v>30</v>
      </c>
      <c r="GW62" s="145">
        <f t="shared" si="49"/>
        <v>0.1</v>
      </c>
      <c r="GX62" s="145">
        <f t="shared" si="49"/>
        <v>-0.54545454545454541</v>
      </c>
      <c r="GY62" s="145">
        <f t="shared" si="49"/>
        <v>2.4</v>
      </c>
      <c r="GZ62" s="145">
        <f t="shared" si="49"/>
        <v>-0.35294117647058826</v>
      </c>
      <c r="HA62" s="145">
        <f t="shared" si="49"/>
        <v>-0.45454545454545453</v>
      </c>
      <c r="HB62" s="145">
        <f t="shared" si="49"/>
        <v>0.16666666666666666</v>
      </c>
      <c r="HC62" s="145">
        <f t="shared" si="49"/>
        <v>0.14285714285714285</v>
      </c>
      <c r="HD62" s="145">
        <f t="shared" si="49"/>
        <v>1.125</v>
      </c>
      <c r="HE62" s="145">
        <f t="shared" si="49"/>
        <v>0.29411764705882354</v>
      </c>
      <c r="HF62" s="145">
        <f t="shared" si="49"/>
        <v>-0.31818181818181818</v>
      </c>
      <c r="HG62" s="145">
        <f t="shared" si="49"/>
        <v>0.26666666666666666</v>
      </c>
      <c r="HH62" s="145">
        <f t="shared" si="49"/>
        <v>-0.47368421052631576</v>
      </c>
      <c r="HI62" s="145">
        <f t="shared" si="49"/>
        <v>0.8</v>
      </c>
      <c r="HJ62" s="145">
        <f t="shared" si="49"/>
        <v>-0.5</v>
      </c>
      <c r="HK62" s="145">
        <f t="shared" si="49"/>
        <v>1.6666666666666667</v>
      </c>
      <c r="HL62" s="145">
        <f t="shared" si="49"/>
        <v>-0.16666666666666666</v>
      </c>
      <c r="HM62" s="145">
        <f t="shared" si="50"/>
        <v>-0.6</v>
      </c>
      <c r="HN62" s="145">
        <f t="shared" si="50"/>
        <v>0.125</v>
      </c>
      <c r="HO62" s="145">
        <f t="shared" si="50"/>
        <v>0</v>
      </c>
      <c r="HP62" s="145">
        <f t="shared" si="50"/>
        <v>0.33333333333333331</v>
      </c>
      <c r="HQ62" s="145">
        <f t="shared" si="50"/>
        <v>0.66666666666666663</v>
      </c>
      <c r="HR62" s="145">
        <f t="shared" si="50"/>
        <v>-0.35</v>
      </c>
      <c r="HS62" s="145">
        <f t="shared" si="50"/>
        <v>-0.61538461538461542</v>
      </c>
      <c r="HT62" s="145">
        <f t="shared" si="50"/>
        <v>1</v>
      </c>
      <c r="HU62" s="145">
        <f t="shared" si="50"/>
        <v>0.2</v>
      </c>
      <c r="HV62" s="145">
        <f t="shared" si="50"/>
        <v>-0.58333333333333337</v>
      </c>
      <c r="HW62" s="145">
        <f t="shared" si="50"/>
        <v>0.8</v>
      </c>
      <c r="HX62" s="145">
        <f t="shared" si="50"/>
        <v>-0.33333333333333331</v>
      </c>
      <c r="HY62" s="145">
        <f t="shared" si="50"/>
        <v>-0.5</v>
      </c>
      <c r="HZ62" s="145">
        <f t="shared" si="50"/>
        <v>1.6666666666666667</v>
      </c>
      <c r="IA62" s="145">
        <f t="shared" si="50"/>
        <v>0.125</v>
      </c>
      <c r="IB62" s="145">
        <f t="shared" si="50"/>
        <v>0.1111111111111111</v>
      </c>
      <c r="IC62" s="145">
        <f t="shared" si="51"/>
        <v>0.3</v>
      </c>
      <c r="ID62" s="145">
        <f t="shared" si="51"/>
        <v>-0.46153846153846156</v>
      </c>
      <c r="IE62" s="145">
        <f t="shared" si="51"/>
        <v>-0.42857142857142855</v>
      </c>
      <c r="IF62" s="145">
        <f t="shared" si="51"/>
        <v>-0.25</v>
      </c>
      <c r="IG62" s="145">
        <f t="shared" si="51"/>
        <v>2</v>
      </c>
      <c r="IH62" s="145">
        <f t="shared" si="51"/>
        <v>-0.66666666666666663</v>
      </c>
      <c r="II62" s="145">
        <f t="shared" si="51"/>
        <v>1.6666666666666667</v>
      </c>
      <c r="IJ62" s="145">
        <f t="shared" si="51"/>
        <v>-0.25</v>
      </c>
      <c r="IK62" s="145">
        <f t="shared" si="51"/>
        <v>-0.66666666666666663</v>
      </c>
      <c r="IL62" s="145">
        <f t="shared" si="51"/>
        <v>1</v>
      </c>
      <c r="IM62" s="145">
        <f t="shared" si="51"/>
        <v>0.5</v>
      </c>
      <c r="IN62" s="145">
        <f t="shared" si="51"/>
        <v>0.5</v>
      </c>
      <c r="IO62" s="145">
        <f t="shared" si="51"/>
        <v>0</v>
      </c>
      <c r="IP62" s="145">
        <f t="shared" si="51"/>
        <v>-0.77777777777777779</v>
      </c>
      <c r="IQ62" s="145">
        <f t="shared" si="51"/>
        <v>2</v>
      </c>
      <c r="IR62" s="145">
        <f t="shared" si="51"/>
        <v>-0.66666666666666663</v>
      </c>
      <c r="IS62" s="145">
        <f t="shared" si="52"/>
        <v>1</v>
      </c>
      <c r="IT62" s="145">
        <f t="shared" si="52"/>
        <v>0</v>
      </c>
      <c r="IU62" s="145">
        <f t="shared" si="52"/>
        <v>-0.75</v>
      </c>
      <c r="IV62" s="145">
        <f t="shared" si="52"/>
        <v>4</v>
      </c>
      <c r="IW62" s="145">
        <f t="shared" si="52"/>
        <v>-0.8</v>
      </c>
      <c r="IX62" s="145">
        <f t="shared" si="52"/>
        <v>1</v>
      </c>
      <c r="IY62" s="145">
        <f t="shared" si="52"/>
        <v>0.5</v>
      </c>
      <c r="IZ62" s="145">
        <f t="shared" si="52"/>
        <v>2.3333333333333335</v>
      </c>
      <c r="JA62" s="145">
        <f t="shared" si="52"/>
        <v>-0.6</v>
      </c>
      <c r="JB62" s="145">
        <f t="shared" si="52"/>
        <v>-0.25</v>
      </c>
      <c r="JC62" s="145">
        <f t="shared" si="52"/>
        <v>0.33333333333333331</v>
      </c>
      <c r="JD62" s="145">
        <f t="shared" si="52"/>
        <v>0</v>
      </c>
      <c r="JE62" s="145">
        <f t="shared" si="52"/>
        <v>0</v>
      </c>
      <c r="JF62" s="145">
        <f t="shared" si="52"/>
        <v>-0.75</v>
      </c>
      <c r="JG62" s="145">
        <f t="shared" si="52"/>
        <v>2</v>
      </c>
      <c r="JH62" s="145">
        <f t="shared" si="52"/>
        <v>-1</v>
      </c>
      <c r="JI62" s="145" t="e">
        <f t="shared" si="53"/>
        <v>#DIV/0!</v>
      </c>
      <c r="JJ62" s="145">
        <f t="shared" si="53"/>
        <v>0</v>
      </c>
      <c r="JK62" s="145">
        <f t="shared" si="53"/>
        <v>0.5</v>
      </c>
      <c r="JL62" s="145">
        <f t="shared" si="53"/>
        <v>1.6666666666666667</v>
      </c>
      <c r="JM62" s="145">
        <f t="shared" si="53"/>
        <v>0</v>
      </c>
      <c r="JN62" s="145">
        <f t="shared" si="53"/>
        <v>-0.625</v>
      </c>
      <c r="JO62" s="145">
        <f t="shared" si="53"/>
        <v>-0.66666666666666663</v>
      </c>
      <c r="JP62" s="145">
        <f t="shared" si="53"/>
        <v>0</v>
      </c>
      <c r="JQ62" s="145">
        <f t="shared" si="53"/>
        <v>1</v>
      </c>
      <c r="JR62" s="145">
        <f t="shared" si="53"/>
        <v>1</v>
      </c>
      <c r="JS62" s="145">
        <f t="shared" si="53"/>
        <v>0.25</v>
      </c>
      <c r="JT62" s="145">
        <f t="shared" si="53"/>
        <v>-0.2</v>
      </c>
      <c r="JU62" s="145">
        <f t="shared" si="53"/>
        <v>-0.25</v>
      </c>
      <c r="JV62" s="145">
        <f t="shared" si="53"/>
        <v>0</v>
      </c>
      <c r="JW62" s="145">
        <f t="shared" si="53"/>
        <v>0.33333333333333331</v>
      </c>
      <c r="JX62" s="145">
        <f t="shared" si="53"/>
        <v>1.25</v>
      </c>
      <c r="JY62" s="145">
        <f t="shared" si="54"/>
        <v>0.22222222222222221</v>
      </c>
      <c r="JZ62" s="145">
        <f t="shared" si="54"/>
        <v>-0.36363636363636365</v>
      </c>
      <c r="KA62" s="145">
        <f t="shared" si="54"/>
        <v>-0.5714285714285714</v>
      </c>
      <c r="KB62" s="145">
        <f t="shared" si="54"/>
        <v>0.33333333333333331</v>
      </c>
      <c r="KC62" s="145">
        <f t="shared" si="54"/>
        <v>-0.75</v>
      </c>
      <c r="KD62" s="145">
        <f t="shared" si="54"/>
        <v>2</v>
      </c>
      <c r="KE62" s="145">
        <f t="shared" si="54"/>
        <v>0</v>
      </c>
      <c r="KF62" s="145">
        <f t="shared" si="54"/>
        <v>-0.66666666666666663</v>
      </c>
      <c r="KG62" s="145">
        <f t="shared" si="54"/>
        <v>1</v>
      </c>
      <c r="KH62" s="145">
        <f t="shared" si="54"/>
        <v>2</v>
      </c>
      <c r="KI62" s="145">
        <f t="shared" si="54"/>
        <v>-0.16666666666666666</v>
      </c>
      <c r="KJ62" s="145">
        <f t="shared" si="54"/>
        <v>1</v>
      </c>
      <c r="KK62" s="145">
        <f t="shared" si="54"/>
        <v>-0.1</v>
      </c>
      <c r="KL62" s="145">
        <f t="shared" si="54"/>
        <v>-0.88888888888888884</v>
      </c>
      <c r="KM62" s="145">
        <f t="shared" si="54"/>
        <v>2</v>
      </c>
      <c r="KN62" s="145">
        <f t="shared" si="54"/>
        <v>0.66666666666666663</v>
      </c>
      <c r="KO62" s="145">
        <f t="shared" si="55"/>
        <v>-0.8</v>
      </c>
      <c r="KP62" s="145">
        <f t="shared" si="55"/>
        <v>3</v>
      </c>
      <c r="KQ62" s="145">
        <f t="shared" si="55"/>
        <v>0.5</v>
      </c>
      <c r="KR62" s="145">
        <f t="shared" si="55"/>
        <v>-0.5</v>
      </c>
      <c r="KS62" s="145">
        <f t="shared" si="55"/>
        <v>-0.33333333333333331</v>
      </c>
      <c r="KT62" s="145">
        <f t="shared" si="55"/>
        <v>-0.5</v>
      </c>
      <c r="KU62" s="145">
        <f t="shared" si="55"/>
        <v>5</v>
      </c>
      <c r="KV62" s="145">
        <f t="shared" si="55"/>
        <v>0.33333333333333331</v>
      </c>
      <c r="KW62" s="145">
        <f t="shared" si="55"/>
        <v>-0.25</v>
      </c>
      <c r="KX62" s="145">
        <f t="shared" si="55"/>
        <v>0.16666666666666666</v>
      </c>
      <c r="KY62" s="145">
        <f t="shared" si="55"/>
        <v>-0.7142857142857143</v>
      </c>
      <c r="KZ62" s="145">
        <f t="shared" si="55"/>
        <v>0.5</v>
      </c>
      <c r="LA62" s="145">
        <f t="shared" si="55"/>
        <v>-0.66666666666666663</v>
      </c>
      <c r="LB62" s="145">
        <f t="shared" si="55"/>
        <v>1</v>
      </c>
      <c r="LC62" s="145">
        <f t="shared" si="55"/>
        <v>1.5</v>
      </c>
      <c r="LD62" s="145">
        <f t="shared" si="55"/>
        <v>-0.6</v>
      </c>
      <c r="LE62" s="145">
        <f t="shared" si="43"/>
        <v>0.5</v>
      </c>
      <c r="LF62" s="145">
        <f t="shared" si="43"/>
        <v>-0.33333333333333331</v>
      </c>
      <c r="LG62" s="145">
        <f t="shared" si="43"/>
        <v>0</v>
      </c>
      <c r="LH62" s="145">
        <f t="shared" si="43"/>
        <v>6</v>
      </c>
      <c r="LI62" s="145">
        <f t="shared" si="43"/>
        <v>-0.21428571428571427</v>
      </c>
      <c r="LJ62" s="145">
        <f t="shared" si="43"/>
        <v>-0.27272727272727271</v>
      </c>
      <c r="LK62" s="145">
        <f t="shared" si="43"/>
        <v>-0.625</v>
      </c>
      <c r="LL62" s="145">
        <f t="shared" si="43"/>
        <v>-0.33333333333333331</v>
      </c>
      <c r="LM62" s="145">
        <f t="shared" si="43"/>
        <v>-0.5</v>
      </c>
      <c r="LN62" s="145">
        <f t="shared" si="43"/>
        <v>2</v>
      </c>
      <c r="LO62" s="145">
        <f t="shared" si="43"/>
        <v>1.3333333333333333</v>
      </c>
      <c r="LP62" s="145">
        <f t="shared" si="43"/>
        <v>-0.5714285714285714</v>
      </c>
      <c r="LQ62" s="145">
        <f t="shared" si="43"/>
        <v>0.33333333333333331</v>
      </c>
      <c r="LR62" s="145">
        <f t="shared" si="43"/>
        <v>-0.25</v>
      </c>
      <c r="LS62" s="145">
        <f t="shared" si="43"/>
        <v>1.6666666666666667</v>
      </c>
      <c r="LT62" s="145">
        <f t="shared" si="43"/>
        <v>0.75</v>
      </c>
      <c r="LU62" s="145">
        <f t="shared" si="44"/>
        <v>0.14285714285714285</v>
      </c>
      <c r="LV62" s="145">
        <f t="shared" si="44"/>
        <v>-0.625</v>
      </c>
      <c r="LW62" s="145">
        <f t="shared" si="44"/>
        <v>-0.16666666666666666</v>
      </c>
      <c r="LX62" s="145">
        <f t="shared" si="44"/>
        <v>-0.4</v>
      </c>
      <c r="LY62" s="145">
        <f t="shared" si="44"/>
        <v>1</v>
      </c>
      <c r="LZ62" s="145">
        <f t="shared" si="44"/>
        <v>-0.66666666666666663</v>
      </c>
      <c r="MA62" s="145">
        <f t="shared" si="44"/>
        <v>4</v>
      </c>
      <c r="MB62" s="145">
        <f t="shared" si="44"/>
        <v>-0.9</v>
      </c>
      <c r="MC62" s="145">
        <f t="shared" si="44"/>
        <v>3</v>
      </c>
      <c r="MD62" s="145">
        <f t="shared" si="44"/>
        <v>0.25</v>
      </c>
      <c r="ME62" s="145">
        <f t="shared" si="44"/>
        <v>0.4</v>
      </c>
      <c r="MF62" s="145">
        <f t="shared" si="44"/>
        <v>-0.14285714285714285</v>
      </c>
      <c r="MG62" s="145">
        <f t="shared" si="44"/>
        <v>1.3333333333333333</v>
      </c>
      <c r="MH62" s="145">
        <f t="shared" si="44"/>
        <v>-0.42857142857142855</v>
      </c>
      <c r="MI62" s="145">
        <f t="shared" si="44"/>
        <v>-0.75</v>
      </c>
      <c r="MJ62" s="145">
        <f t="shared" si="44"/>
        <v>1.5</v>
      </c>
      <c r="MK62" s="145">
        <f t="shared" si="44"/>
        <v>0</v>
      </c>
      <c r="ML62" s="145">
        <f t="shared" si="44"/>
        <v>-0.8</v>
      </c>
      <c r="MM62" s="145">
        <f t="shared" si="44"/>
        <v>6</v>
      </c>
      <c r="MN62" s="145">
        <f t="shared" si="44"/>
        <v>-0.2857142857142857</v>
      </c>
      <c r="MO62" s="145">
        <f t="shared" si="44"/>
        <v>-1</v>
      </c>
      <c r="MP62" s="145" t="e">
        <f t="shared" si="44"/>
        <v>#DIV/0!</v>
      </c>
      <c r="MQ62" s="145">
        <f t="shared" si="44"/>
        <v>-0.25</v>
      </c>
      <c r="MR62" s="145">
        <f t="shared" si="44"/>
        <v>0</v>
      </c>
      <c r="MS62" s="145">
        <f>(EZ62-EY62)/EY62</f>
        <v>0</v>
      </c>
      <c r="MT62" s="145">
        <f t="shared" si="45"/>
        <v>0</v>
      </c>
      <c r="MU62" s="145">
        <f t="shared" si="45"/>
        <v>0</v>
      </c>
      <c r="MV62" s="145">
        <f t="shared" si="45"/>
        <v>0.83333333333333337</v>
      </c>
      <c r="MW62" s="145">
        <f t="shared" si="45"/>
        <v>-5</v>
      </c>
      <c r="MX62" s="145">
        <f t="shared" si="45"/>
        <v>0.66666666666666663</v>
      </c>
      <c r="MY62" s="145">
        <f t="shared" si="45"/>
        <v>-2</v>
      </c>
      <c r="MZ62" s="145" t="e">
        <f t="shared" si="45"/>
        <v>#DIV/0!</v>
      </c>
      <c r="NA62" s="145">
        <f t="shared" si="45"/>
        <v>1</v>
      </c>
      <c r="NB62" s="145" t="e">
        <f t="shared" si="45"/>
        <v>#DIV/0!</v>
      </c>
      <c r="NC62" s="145">
        <f t="shared" si="45"/>
        <v>1</v>
      </c>
      <c r="ND62" s="145">
        <f t="shared" si="45"/>
        <v>0</v>
      </c>
      <c r="NE62" s="145" t="e">
        <f t="shared" si="45"/>
        <v>#DIV/0!</v>
      </c>
      <c r="NF62" s="145">
        <f t="shared" si="45"/>
        <v>1</v>
      </c>
      <c r="NG62" s="145" t="e">
        <f t="shared" si="45"/>
        <v>#DIV/0!</v>
      </c>
      <c r="NH62" s="145">
        <f t="shared" si="45"/>
        <v>1</v>
      </c>
      <c r="NI62" s="145">
        <f t="shared" si="45"/>
        <v>0.75</v>
      </c>
      <c r="NJ62" s="145">
        <f t="shared" si="46"/>
        <v>-1</v>
      </c>
      <c r="NK62" s="145">
        <f t="shared" si="46"/>
        <v>0</v>
      </c>
      <c r="NL62" s="145">
        <f t="shared" si="46"/>
        <v>-1</v>
      </c>
      <c r="NM62" s="145" t="e">
        <f t="shared" si="46"/>
        <v>#DIV/0!</v>
      </c>
      <c r="NN62" s="145">
        <f t="shared" si="46"/>
        <v>1</v>
      </c>
      <c r="NO62" s="145">
        <f t="shared" si="46"/>
        <v>0.33333333333333331</v>
      </c>
      <c r="NP62" s="145">
        <f t="shared" si="46"/>
        <v>-0.5</v>
      </c>
      <c r="NQ62" s="145">
        <f t="shared" si="46"/>
        <v>0.5</v>
      </c>
      <c r="NR62" s="145">
        <f t="shared" si="46"/>
        <v>0.33333333333333331</v>
      </c>
      <c r="NS62" s="145">
        <f t="shared" si="46"/>
        <v>-0.2</v>
      </c>
      <c r="NT62" s="145">
        <f t="shared" si="46"/>
        <v>-0.25</v>
      </c>
      <c r="NU62" s="145">
        <f t="shared" si="46"/>
        <v>0.33333333333333331</v>
      </c>
      <c r="NV62" s="145">
        <f t="shared" si="46"/>
        <v>-0.5</v>
      </c>
      <c r="NW62" s="145">
        <f t="shared" si="46"/>
        <v>0.73333333333333328</v>
      </c>
      <c r="NX62" s="145">
        <f t="shared" si="47"/>
        <v>-2</v>
      </c>
      <c r="NY62" s="145">
        <f t="shared" si="47"/>
        <v>-1.5</v>
      </c>
      <c r="NZ62" s="145">
        <f t="shared" si="47"/>
        <v>0</v>
      </c>
      <c r="OA62" s="145">
        <f t="shared" si="47"/>
        <v>0.6</v>
      </c>
      <c r="OB62" s="145">
        <f t="shared" si="47"/>
        <v>0</v>
      </c>
      <c r="OC62" s="145">
        <f t="shared" si="47"/>
        <v>0</v>
      </c>
      <c r="OD62" s="145">
        <f t="shared" si="47"/>
        <v>-4</v>
      </c>
      <c r="OE62" s="145">
        <f t="shared" si="47"/>
        <v>0.66666666666666663</v>
      </c>
      <c r="OF62" s="145">
        <f t="shared" si="47"/>
        <v>0</v>
      </c>
      <c r="OG62" s="145">
        <f t="shared" si="47"/>
        <v>0.25</v>
      </c>
      <c r="OH62" s="145">
        <f t="shared" si="47"/>
        <v>-3</v>
      </c>
      <c r="OI62" s="145">
        <f t="shared" si="47"/>
        <v>0.91666666666666663</v>
      </c>
      <c r="OJ62" s="145">
        <f t="shared" si="47"/>
        <v>-2</v>
      </c>
      <c r="OK62" s="145">
        <f t="shared" si="47"/>
        <v>-3</v>
      </c>
      <c r="OL62" s="145">
        <f t="shared" si="47"/>
        <v>0.75</v>
      </c>
    </row>
    <row r="63" spans="1:402" ht="19.5" customHeight="1" x14ac:dyDescent="0.35">
      <c r="B63" s="23"/>
      <c r="C63" s="23"/>
      <c r="D63" s="23"/>
      <c r="E63" s="23"/>
      <c r="F63" s="23"/>
      <c r="G63" s="24"/>
      <c r="H63" s="24"/>
      <c r="I63" s="24"/>
      <c r="J63" s="24"/>
      <c r="GS63" s="24"/>
      <c r="GU63" s="12"/>
      <c r="GV63" s="3"/>
      <c r="GW63" s="25"/>
      <c r="GX63" s="25"/>
      <c r="GY63" s="25"/>
    </row>
    <row r="65" spans="1:402" ht="16" thickBot="1" x14ac:dyDescent="0.4">
      <c r="A65" s="12" t="s">
        <v>39</v>
      </c>
      <c r="GU65" s="12" t="s">
        <v>36</v>
      </c>
    </row>
    <row r="66" spans="1:402" x14ac:dyDescent="0.35">
      <c r="B66" s="13">
        <v>2007</v>
      </c>
      <c r="C66" s="13"/>
      <c r="D66" s="13"/>
      <c r="E66" s="14"/>
      <c r="F66" s="15">
        <v>2008</v>
      </c>
      <c r="G66" s="16"/>
      <c r="H66" s="17"/>
      <c r="I66" s="16"/>
      <c r="J66" s="16"/>
      <c r="K66" s="16"/>
      <c r="L66" s="18"/>
      <c r="M66" s="18"/>
      <c r="N66" s="18"/>
      <c r="O66" s="18"/>
      <c r="P66" s="18"/>
      <c r="Q66" s="18"/>
      <c r="R66" s="19">
        <v>2009</v>
      </c>
      <c r="S66" s="19"/>
      <c r="T66" s="19"/>
      <c r="U66" s="19"/>
      <c r="V66" s="16"/>
      <c r="W66" s="16"/>
      <c r="X66" s="16"/>
      <c r="Y66" s="16"/>
      <c r="Z66" s="16"/>
      <c r="AA66" s="16"/>
      <c r="AB66" s="16"/>
      <c r="AC66" s="16"/>
      <c r="AD66" s="19">
        <v>2010</v>
      </c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>
        <v>2011</v>
      </c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9">
        <v>2012</v>
      </c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9">
        <v>2013</v>
      </c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>
        <v>2014</v>
      </c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>
        <v>2015</v>
      </c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9">
        <v>2016</v>
      </c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9">
        <v>2017</v>
      </c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>
        <v>2018</v>
      </c>
      <c r="DW66" s="19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9">
        <v>2019</v>
      </c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9">
        <v>2020</v>
      </c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9">
        <v>2021</v>
      </c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>
        <v>2022</v>
      </c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>
        <v>2023</v>
      </c>
      <c r="GE66" s="19"/>
      <c r="GF66" s="16"/>
      <c r="GG66" s="19">
        <v>2023</v>
      </c>
      <c r="GH66" s="16"/>
      <c r="GI66" s="16"/>
      <c r="GJ66" s="16"/>
      <c r="GK66" s="16"/>
      <c r="GL66" s="16"/>
      <c r="GM66" s="16"/>
      <c r="GN66" s="16"/>
      <c r="GO66" s="16"/>
      <c r="GP66" s="19">
        <v>2024</v>
      </c>
      <c r="GQ66" s="19"/>
      <c r="GR66" s="183"/>
      <c r="GS66" s="43"/>
      <c r="GV66" s="13">
        <v>2007</v>
      </c>
      <c r="GW66" s="13"/>
      <c r="GX66" s="13"/>
      <c r="GY66" s="14"/>
      <c r="GZ66" s="15">
        <v>2008</v>
      </c>
      <c r="HA66" s="16"/>
      <c r="HB66" s="17"/>
      <c r="HC66" s="16"/>
      <c r="HD66" s="16"/>
      <c r="HE66" s="16"/>
      <c r="HF66" s="18"/>
      <c r="HG66" s="18"/>
      <c r="HH66" s="18"/>
      <c r="HI66" s="18"/>
      <c r="HJ66" s="18"/>
      <c r="HK66" s="18"/>
      <c r="HL66" s="19">
        <v>2009</v>
      </c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>
        <v>2010</v>
      </c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>
        <v>2011</v>
      </c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>
        <v>2012</v>
      </c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>
        <v>2013</v>
      </c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>
        <v>2014</v>
      </c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>
        <v>2015</v>
      </c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>
        <v>2016</v>
      </c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>
        <v>2017</v>
      </c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>
        <v>2018</v>
      </c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>
        <v>2019</v>
      </c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>
        <v>2020</v>
      </c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>
        <v>2021</v>
      </c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>
        <v>2022</v>
      </c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>
        <v>2023</v>
      </c>
      <c r="NY66" s="19"/>
      <c r="NZ66" s="19"/>
      <c r="OA66" s="19">
        <v>2023</v>
      </c>
      <c r="OB66" s="19"/>
      <c r="OC66" s="19"/>
      <c r="OD66" s="19"/>
      <c r="OE66" s="19"/>
      <c r="OF66" s="19"/>
      <c r="OG66" s="19"/>
      <c r="OH66" s="19"/>
      <c r="OI66" s="19"/>
      <c r="OJ66" s="19">
        <v>2024</v>
      </c>
      <c r="OK66" s="19"/>
      <c r="OL66" s="19"/>
    </row>
    <row r="67" spans="1:402" s="2" customFormat="1" x14ac:dyDescent="0.35">
      <c r="A67" s="26"/>
      <c r="B67" s="20" t="s">
        <v>3</v>
      </c>
      <c r="C67" s="20" t="s">
        <v>4</v>
      </c>
      <c r="D67" s="20" t="s">
        <v>5</v>
      </c>
      <c r="E67" s="20" t="s">
        <v>6</v>
      </c>
      <c r="F67" s="20" t="s">
        <v>7</v>
      </c>
      <c r="G67" s="20" t="s">
        <v>8</v>
      </c>
      <c r="H67" s="20" t="s">
        <v>9</v>
      </c>
      <c r="I67" s="20" t="s">
        <v>10</v>
      </c>
      <c r="J67" s="20" t="s">
        <v>11</v>
      </c>
      <c r="K67" s="20" t="s">
        <v>12</v>
      </c>
      <c r="L67" s="20" t="s">
        <v>13</v>
      </c>
      <c r="M67" s="20" t="s">
        <v>14</v>
      </c>
      <c r="N67" s="20" t="s">
        <v>3</v>
      </c>
      <c r="O67" s="20" t="s">
        <v>4</v>
      </c>
      <c r="P67" s="20" t="s">
        <v>5</v>
      </c>
      <c r="Q67" s="20" t="s">
        <v>15</v>
      </c>
      <c r="R67" s="22" t="s">
        <v>7</v>
      </c>
      <c r="S67" s="22" t="s">
        <v>8</v>
      </c>
      <c r="T67" s="22" t="s">
        <v>9</v>
      </c>
      <c r="U67" s="22" t="s">
        <v>10</v>
      </c>
      <c r="V67" s="22" t="s">
        <v>11</v>
      </c>
      <c r="W67" s="22" t="s">
        <v>12</v>
      </c>
      <c r="X67" s="22" t="s">
        <v>13</v>
      </c>
      <c r="Y67" s="22" t="s">
        <v>14</v>
      </c>
      <c r="Z67" s="22" t="s">
        <v>16</v>
      </c>
      <c r="AA67" s="22" t="s">
        <v>4</v>
      </c>
      <c r="AB67" s="22" t="s">
        <v>5</v>
      </c>
      <c r="AC67" s="22" t="s">
        <v>6</v>
      </c>
      <c r="AD67" s="22" t="s">
        <v>17</v>
      </c>
      <c r="AE67" s="22" t="s">
        <v>8</v>
      </c>
      <c r="AF67" s="22" t="s">
        <v>18</v>
      </c>
      <c r="AG67" s="22" t="s">
        <v>10</v>
      </c>
      <c r="AH67" s="22" t="s">
        <v>11</v>
      </c>
      <c r="AI67" s="22" t="s">
        <v>12</v>
      </c>
      <c r="AJ67" s="22" t="s">
        <v>13</v>
      </c>
      <c r="AK67" s="22" t="s">
        <v>14</v>
      </c>
      <c r="AL67" s="22" t="s">
        <v>16</v>
      </c>
      <c r="AM67" s="22" t="s">
        <v>19</v>
      </c>
      <c r="AN67" s="22" t="s">
        <v>5</v>
      </c>
      <c r="AO67" s="22" t="s">
        <v>6</v>
      </c>
      <c r="AP67" s="22" t="s">
        <v>7</v>
      </c>
      <c r="AQ67" s="22" t="s">
        <v>8</v>
      </c>
      <c r="AR67" s="22" t="s">
        <v>9</v>
      </c>
      <c r="AS67" s="22" t="s">
        <v>10</v>
      </c>
      <c r="AT67" s="22" t="s">
        <v>11</v>
      </c>
      <c r="AU67" s="22" t="s">
        <v>12</v>
      </c>
      <c r="AV67" s="22" t="s">
        <v>13</v>
      </c>
      <c r="AW67" s="22" t="s">
        <v>14</v>
      </c>
      <c r="AX67" s="22" t="s">
        <v>3</v>
      </c>
      <c r="AY67" s="22" t="s">
        <v>4</v>
      </c>
      <c r="AZ67" s="22" t="s">
        <v>5</v>
      </c>
      <c r="BA67" s="22" t="s">
        <v>15</v>
      </c>
      <c r="BB67" s="22" t="s">
        <v>7</v>
      </c>
      <c r="BC67" s="22" t="s">
        <v>8</v>
      </c>
      <c r="BD67" s="22" t="s">
        <v>18</v>
      </c>
      <c r="BE67" s="22" t="s">
        <v>10</v>
      </c>
      <c r="BF67" s="22" t="s">
        <v>11</v>
      </c>
      <c r="BG67" s="22" t="s">
        <v>12</v>
      </c>
      <c r="BH67" s="22" t="s">
        <v>20</v>
      </c>
      <c r="BI67" s="22" t="s">
        <v>21</v>
      </c>
      <c r="BJ67" s="22" t="s">
        <v>16</v>
      </c>
      <c r="BK67" s="22" t="s">
        <v>19</v>
      </c>
      <c r="BL67" s="22" t="s">
        <v>5</v>
      </c>
      <c r="BM67" s="22" t="s">
        <v>15</v>
      </c>
      <c r="BN67" s="22" t="s">
        <v>7</v>
      </c>
      <c r="BO67" s="22" t="s">
        <v>8</v>
      </c>
      <c r="BP67" s="22" t="s">
        <v>9</v>
      </c>
      <c r="BQ67" s="22" t="s">
        <v>10</v>
      </c>
      <c r="BR67" s="22" t="s">
        <v>11</v>
      </c>
      <c r="BS67" s="22" t="s">
        <v>12</v>
      </c>
      <c r="BT67" s="22" t="s">
        <v>20</v>
      </c>
      <c r="BU67" s="22" t="s">
        <v>21</v>
      </c>
      <c r="BV67" s="22" t="s">
        <v>22</v>
      </c>
      <c r="BW67" s="22" t="s">
        <v>4</v>
      </c>
      <c r="BX67" s="22" t="s">
        <v>5</v>
      </c>
      <c r="BY67" s="22" t="s">
        <v>6</v>
      </c>
      <c r="BZ67" s="22" t="s">
        <v>17</v>
      </c>
      <c r="CA67" s="22" t="s">
        <v>23</v>
      </c>
      <c r="CB67" s="22" t="s">
        <v>18</v>
      </c>
      <c r="CC67" s="22" t="s">
        <v>24</v>
      </c>
      <c r="CD67" s="22" t="s">
        <v>11</v>
      </c>
      <c r="CE67" s="22" t="s">
        <v>12</v>
      </c>
      <c r="CF67" s="22" t="s">
        <v>13</v>
      </c>
      <c r="CG67" s="22" t="s">
        <v>14</v>
      </c>
      <c r="CH67" s="22" t="s">
        <v>16</v>
      </c>
      <c r="CI67" s="22" t="s">
        <v>4</v>
      </c>
      <c r="CJ67" s="22" t="s">
        <v>5</v>
      </c>
      <c r="CK67" s="22" t="s">
        <v>6</v>
      </c>
      <c r="CL67" s="22" t="s">
        <v>7</v>
      </c>
      <c r="CM67" s="22" t="s">
        <v>8</v>
      </c>
      <c r="CN67" s="22" t="s">
        <v>18</v>
      </c>
      <c r="CO67" s="22" t="s">
        <v>10</v>
      </c>
      <c r="CP67" s="22" t="s">
        <v>11</v>
      </c>
      <c r="CQ67" s="22" t="s">
        <v>12</v>
      </c>
      <c r="CR67" s="22" t="s">
        <v>20</v>
      </c>
      <c r="CS67" s="22" t="s">
        <v>14</v>
      </c>
      <c r="CT67" s="22" t="s">
        <v>22</v>
      </c>
      <c r="CU67" s="22" t="s">
        <v>19</v>
      </c>
      <c r="CV67" s="22" t="s">
        <v>5</v>
      </c>
      <c r="CW67" s="22" t="s">
        <v>15</v>
      </c>
      <c r="CX67" s="22" t="s">
        <v>7</v>
      </c>
      <c r="CY67" s="22" t="s">
        <v>23</v>
      </c>
      <c r="CZ67" s="22" t="s">
        <v>18</v>
      </c>
      <c r="DA67" s="22" t="s">
        <v>24</v>
      </c>
      <c r="DB67" s="22" t="s">
        <v>11</v>
      </c>
      <c r="DC67" s="22" t="s">
        <v>12</v>
      </c>
      <c r="DD67" s="22" t="s">
        <v>13</v>
      </c>
      <c r="DE67" s="22" t="s">
        <v>14</v>
      </c>
      <c r="DF67" s="22" t="s">
        <v>16</v>
      </c>
      <c r="DG67" s="22" t="s">
        <v>4</v>
      </c>
      <c r="DH67" s="22" t="s">
        <v>5</v>
      </c>
      <c r="DI67" s="22" t="s">
        <v>15</v>
      </c>
      <c r="DJ67" s="22" t="s">
        <v>7</v>
      </c>
      <c r="DK67" s="22" t="s">
        <v>8</v>
      </c>
      <c r="DL67" s="22" t="s">
        <v>18</v>
      </c>
      <c r="DM67" s="22" t="s">
        <v>24</v>
      </c>
      <c r="DN67" s="22" t="s">
        <v>11</v>
      </c>
      <c r="DO67" s="22" t="s">
        <v>12</v>
      </c>
      <c r="DP67" s="22" t="s">
        <v>20</v>
      </c>
      <c r="DQ67" s="22" t="s">
        <v>14</v>
      </c>
      <c r="DR67" s="22" t="s">
        <v>22</v>
      </c>
      <c r="DS67" s="22" t="s">
        <v>19</v>
      </c>
      <c r="DT67" s="22" t="s">
        <v>5</v>
      </c>
      <c r="DU67" s="22" t="s">
        <v>15</v>
      </c>
      <c r="DV67" s="22" t="s">
        <v>7</v>
      </c>
      <c r="DW67" s="22" t="s">
        <v>8</v>
      </c>
      <c r="DX67" s="22" t="s">
        <v>18</v>
      </c>
      <c r="DY67" s="22" t="s">
        <v>24</v>
      </c>
      <c r="DZ67" s="22" t="s">
        <v>11</v>
      </c>
      <c r="EA67" s="22" t="s">
        <v>12</v>
      </c>
      <c r="EB67" s="22" t="s">
        <v>20</v>
      </c>
      <c r="EC67" s="22" t="s">
        <v>21</v>
      </c>
      <c r="ED67" s="22" t="s">
        <v>22</v>
      </c>
      <c r="EE67" s="22" t="s">
        <v>4</v>
      </c>
      <c r="EF67" s="22" t="s">
        <v>5</v>
      </c>
      <c r="EG67" s="22" t="s">
        <v>15</v>
      </c>
      <c r="EH67" s="22" t="s">
        <v>17</v>
      </c>
      <c r="EI67" s="22" t="s">
        <v>23</v>
      </c>
      <c r="EJ67" s="22" t="s">
        <v>18</v>
      </c>
      <c r="EK67" s="22" t="s">
        <v>24</v>
      </c>
      <c r="EL67" s="22" t="s">
        <v>11</v>
      </c>
      <c r="EM67" s="22" t="s">
        <v>12</v>
      </c>
      <c r="EN67" s="22" t="s">
        <v>20</v>
      </c>
      <c r="EO67" s="22" t="s">
        <v>21</v>
      </c>
      <c r="EP67" s="22" t="s">
        <v>22</v>
      </c>
      <c r="EQ67" s="22" t="s">
        <v>4</v>
      </c>
      <c r="ER67" s="22" t="s">
        <v>5</v>
      </c>
      <c r="ES67" s="22" t="s">
        <v>6</v>
      </c>
      <c r="ET67" s="22" t="s">
        <v>17</v>
      </c>
      <c r="EU67" s="22" t="s">
        <v>8</v>
      </c>
      <c r="EV67" s="22" t="s">
        <v>18</v>
      </c>
      <c r="EW67" s="22" t="s">
        <v>24</v>
      </c>
      <c r="EX67" s="22" t="s">
        <v>11</v>
      </c>
      <c r="EY67" s="22" t="s">
        <v>12</v>
      </c>
      <c r="EZ67" s="22" t="s">
        <v>20</v>
      </c>
      <c r="FA67" s="22" t="s">
        <v>14</v>
      </c>
      <c r="FB67" s="22" t="s">
        <v>22</v>
      </c>
      <c r="FC67" s="22" t="s">
        <v>4</v>
      </c>
      <c r="FD67" s="22" t="s">
        <v>5</v>
      </c>
      <c r="FE67" s="22" t="s">
        <v>6</v>
      </c>
      <c r="FF67" s="22" t="s">
        <v>7</v>
      </c>
      <c r="FG67" s="22" t="s">
        <v>8</v>
      </c>
      <c r="FH67" s="22" t="s">
        <v>9</v>
      </c>
      <c r="FI67" s="22" t="s">
        <v>24</v>
      </c>
      <c r="FJ67" s="22" t="s">
        <v>11</v>
      </c>
      <c r="FK67" s="22" t="s">
        <v>12</v>
      </c>
      <c r="FL67" s="22" t="s">
        <v>20</v>
      </c>
      <c r="FM67" s="22" t="s">
        <v>14</v>
      </c>
      <c r="FN67" s="22" t="s">
        <v>22</v>
      </c>
      <c r="FO67" s="22" t="s">
        <v>19</v>
      </c>
      <c r="FP67" s="22" t="s">
        <v>27</v>
      </c>
      <c r="FQ67" s="22" t="s">
        <v>15</v>
      </c>
      <c r="FR67" s="22" t="s">
        <v>7</v>
      </c>
      <c r="FS67" s="22" t="s">
        <v>8</v>
      </c>
      <c r="FT67" s="22" t="s">
        <v>9</v>
      </c>
      <c r="FU67" s="22" t="s">
        <v>10</v>
      </c>
      <c r="FV67" s="22" t="s">
        <v>11</v>
      </c>
      <c r="FW67" s="22" t="s">
        <v>12</v>
      </c>
      <c r="FX67" s="22" t="s">
        <v>20</v>
      </c>
      <c r="FY67" s="22" t="s">
        <v>14</v>
      </c>
      <c r="FZ67" s="22" t="s">
        <v>16</v>
      </c>
      <c r="GA67" s="22" t="s">
        <v>19</v>
      </c>
      <c r="GB67" s="22" t="s">
        <v>5</v>
      </c>
      <c r="GC67" s="22" t="s">
        <v>6</v>
      </c>
      <c r="GD67" s="22" t="s">
        <v>7</v>
      </c>
      <c r="GE67" s="22" t="s">
        <v>8</v>
      </c>
      <c r="GF67" s="22" t="s">
        <v>18</v>
      </c>
      <c r="GG67" s="22" t="s">
        <v>24</v>
      </c>
      <c r="GH67" s="22" t="s">
        <v>11</v>
      </c>
      <c r="GI67" s="22" t="s">
        <v>12</v>
      </c>
      <c r="GJ67" s="22" t="s">
        <v>13</v>
      </c>
      <c r="GK67" s="22" t="s">
        <v>14</v>
      </c>
      <c r="GL67" s="22" t="s">
        <v>22</v>
      </c>
      <c r="GM67" s="22" t="s">
        <v>4</v>
      </c>
      <c r="GN67" s="22" t="s">
        <v>5</v>
      </c>
      <c r="GO67" s="22" t="s">
        <v>6</v>
      </c>
      <c r="GP67" s="22" t="s">
        <v>7</v>
      </c>
      <c r="GQ67" s="22" t="s">
        <v>8</v>
      </c>
      <c r="GR67" s="22" t="s">
        <v>18</v>
      </c>
      <c r="GV67" s="20" t="s">
        <v>3</v>
      </c>
      <c r="GW67" s="21" t="s">
        <v>4</v>
      </c>
      <c r="GX67" s="20" t="s">
        <v>5</v>
      </c>
      <c r="GY67" s="20" t="s">
        <v>6</v>
      </c>
      <c r="GZ67" s="20" t="s">
        <v>7</v>
      </c>
      <c r="HA67" s="20" t="s">
        <v>8</v>
      </c>
      <c r="HB67" s="20" t="s">
        <v>9</v>
      </c>
      <c r="HC67" s="20" t="s">
        <v>10</v>
      </c>
      <c r="HD67" s="20" t="s">
        <v>11</v>
      </c>
      <c r="HE67" s="20" t="s">
        <v>12</v>
      </c>
      <c r="HF67" s="20" t="s">
        <v>13</v>
      </c>
      <c r="HG67" s="20" t="s">
        <v>14</v>
      </c>
      <c r="HH67" s="20" t="s">
        <v>3</v>
      </c>
      <c r="HI67" s="20" t="s">
        <v>4</v>
      </c>
      <c r="HJ67" s="20" t="s">
        <v>5</v>
      </c>
      <c r="HK67" s="20" t="s">
        <v>15</v>
      </c>
      <c r="HL67" s="22" t="s">
        <v>7</v>
      </c>
      <c r="HM67" s="22" t="s">
        <v>8</v>
      </c>
      <c r="HN67" s="22" t="s">
        <v>9</v>
      </c>
      <c r="HO67" s="22" t="s">
        <v>10</v>
      </c>
      <c r="HP67" s="22" t="s">
        <v>11</v>
      </c>
      <c r="HQ67" s="22" t="s">
        <v>12</v>
      </c>
      <c r="HR67" s="22" t="s">
        <v>13</v>
      </c>
      <c r="HS67" s="22" t="s">
        <v>14</v>
      </c>
      <c r="HT67" s="22" t="s">
        <v>16</v>
      </c>
      <c r="HU67" s="22" t="s">
        <v>4</v>
      </c>
      <c r="HV67" s="22" t="s">
        <v>5</v>
      </c>
      <c r="HW67" s="22" t="s">
        <v>6</v>
      </c>
      <c r="HX67" s="22" t="s">
        <v>17</v>
      </c>
      <c r="HY67" s="22" t="s">
        <v>8</v>
      </c>
      <c r="HZ67" s="22" t="s">
        <v>18</v>
      </c>
      <c r="IA67" s="22" t="s">
        <v>10</v>
      </c>
      <c r="IB67" s="22" t="s">
        <v>11</v>
      </c>
      <c r="IC67" s="22" t="s">
        <v>12</v>
      </c>
      <c r="ID67" s="22" t="s">
        <v>13</v>
      </c>
      <c r="IE67" s="22" t="s">
        <v>26</v>
      </c>
      <c r="IF67" s="22" t="s">
        <v>16</v>
      </c>
      <c r="IG67" s="22" t="s">
        <v>4</v>
      </c>
      <c r="IH67" s="22" t="s">
        <v>5</v>
      </c>
      <c r="II67" s="22" t="s">
        <v>6</v>
      </c>
      <c r="IJ67" s="22" t="s">
        <v>7</v>
      </c>
      <c r="IK67" s="22" t="s">
        <v>7</v>
      </c>
      <c r="IL67" s="22" t="s">
        <v>18</v>
      </c>
      <c r="IM67" s="22" t="s">
        <v>10</v>
      </c>
      <c r="IN67" s="22" t="s">
        <v>11</v>
      </c>
      <c r="IO67" s="22" t="s">
        <v>12</v>
      </c>
      <c r="IP67" s="22" t="s">
        <v>13</v>
      </c>
      <c r="IQ67" s="22" t="s">
        <v>14</v>
      </c>
      <c r="IR67" s="22" t="s">
        <v>3</v>
      </c>
      <c r="IS67" s="22" t="s">
        <v>4</v>
      </c>
      <c r="IT67" s="22" t="s">
        <v>5</v>
      </c>
      <c r="IU67" s="22" t="s">
        <v>15</v>
      </c>
      <c r="IV67" s="22" t="s">
        <v>7</v>
      </c>
      <c r="IW67" s="22" t="s">
        <v>8</v>
      </c>
      <c r="IX67" s="22" t="s">
        <v>18</v>
      </c>
      <c r="IY67" s="22" t="s">
        <v>10</v>
      </c>
      <c r="IZ67" s="22" t="s">
        <v>11</v>
      </c>
      <c r="JA67" s="22" t="s">
        <v>12</v>
      </c>
      <c r="JB67" s="22" t="s">
        <v>20</v>
      </c>
      <c r="JC67" s="22" t="s">
        <v>21</v>
      </c>
      <c r="JD67" s="22" t="s">
        <v>16</v>
      </c>
      <c r="JE67" s="22" t="s">
        <v>4</v>
      </c>
      <c r="JF67" s="22" t="s">
        <v>5</v>
      </c>
      <c r="JG67" s="22" t="s">
        <v>6</v>
      </c>
      <c r="JH67" s="22" t="s">
        <v>7</v>
      </c>
      <c r="JI67" s="22" t="s">
        <v>8</v>
      </c>
      <c r="JJ67" s="22" t="s">
        <v>9</v>
      </c>
      <c r="JK67" s="22" t="s">
        <v>10</v>
      </c>
      <c r="JL67" s="22" t="s">
        <v>11</v>
      </c>
      <c r="JM67" s="22" t="s">
        <v>12</v>
      </c>
      <c r="JN67" s="22" t="s">
        <v>20</v>
      </c>
      <c r="JO67" s="22" t="s">
        <v>21</v>
      </c>
      <c r="JP67" s="22" t="s">
        <v>22</v>
      </c>
      <c r="JQ67" s="22" t="s">
        <v>4</v>
      </c>
      <c r="JR67" s="22" t="s">
        <v>5</v>
      </c>
      <c r="JS67" s="22" t="s">
        <v>6</v>
      </c>
      <c r="JT67" s="22" t="s">
        <v>17</v>
      </c>
      <c r="JU67" s="22" t="s">
        <v>23</v>
      </c>
      <c r="JV67" s="22" t="s">
        <v>18</v>
      </c>
      <c r="JW67" s="22" t="s">
        <v>24</v>
      </c>
      <c r="JX67" s="22" t="s">
        <v>11</v>
      </c>
      <c r="JY67" s="22" t="s">
        <v>12</v>
      </c>
      <c r="JZ67" s="22" t="s">
        <v>13</v>
      </c>
      <c r="KA67" s="22" t="s">
        <v>14</v>
      </c>
      <c r="KB67" s="22" t="s">
        <v>22</v>
      </c>
      <c r="KC67" s="22" t="s">
        <v>4</v>
      </c>
      <c r="KD67" s="22" t="s">
        <v>5</v>
      </c>
      <c r="KE67" s="22" t="s">
        <v>6</v>
      </c>
      <c r="KF67" s="22" t="s">
        <v>17</v>
      </c>
      <c r="KG67" s="22" t="s">
        <v>8</v>
      </c>
      <c r="KH67" s="22" t="s">
        <v>18</v>
      </c>
      <c r="KI67" s="22" t="s">
        <v>10</v>
      </c>
      <c r="KJ67" s="22" t="s">
        <v>11</v>
      </c>
      <c r="KK67" s="22" t="s">
        <v>12</v>
      </c>
      <c r="KL67" s="22" t="s">
        <v>20</v>
      </c>
      <c r="KM67" s="22" t="s">
        <v>21</v>
      </c>
      <c r="KN67" s="22" t="s">
        <v>16</v>
      </c>
      <c r="KO67" s="22" t="s">
        <v>19</v>
      </c>
      <c r="KP67" s="22" t="s">
        <v>5</v>
      </c>
      <c r="KQ67" s="22" t="s">
        <v>6</v>
      </c>
      <c r="KR67" s="22" t="s">
        <v>7</v>
      </c>
      <c r="KS67" s="22" t="s">
        <v>8</v>
      </c>
      <c r="KT67" s="22" t="s">
        <v>18</v>
      </c>
      <c r="KU67" s="22" t="s">
        <v>24</v>
      </c>
      <c r="KV67" s="22" t="s">
        <v>11</v>
      </c>
      <c r="KW67" s="22" t="s">
        <v>12</v>
      </c>
      <c r="KX67" s="22" t="s">
        <v>20</v>
      </c>
      <c r="KY67" s="22" t="s">
        <v>14</v>
      </c>
      <c r="KZ67" s="22" t="s">
        <v>16</v>
      </c>
      <c r="LA67" s="22" t="s">
        <v>4</v>
      </c>
      <c r="LB67" s="22" t="s">
        <v>27</v>
      </c>
      <c r="LC67" s="22" t="s">
        <v>6</v>
      </c>
      <c r="LD67" s="22" t="s">
        <v>7</v>
      </c>
      <c r="LE67" s="22" t="s">
        <v>8</v>
      </c>
      <c r="LF67" s="22" t="s">
        <v>9</v>
      </c>
      <c r="LG67" s="22" t="s">
        <v>24</v>
      </c>
      <c r="LH67" s="22" t="s">
        <v>11</v>
      </c>
      <c r="LI67" s="22" t="s">
        <v>12</v>
      </c>
      <c r="LJ67" s="22" t="s">
        <v>20</v>
      </c>
      <c r="LK67" s="22" t="s">
        <v>14</v>
      </c>
      <c r="LL67" s="22" t="s">
        <v>22</v>
      </c>
      <c r="LM67" s="22" t="s">
        <v>19</v>
      </c>
      <c r="LN67" s="22" t="s">
        <v>5</v>
      </c>
      <c r="LO67" s="22" t="s">
        <v>15</v>
      </c>
      <c r="LP67" s="22" t="s">
        <v>7</v>
      </c>
      <c r="LQ67" s="22" t="s">
        <v>8</v>
      </c>
      <c r="LR67" s="22" t="s">
        <v>18</v>
      </c>
      <c r="LS67" s="22" t="s">
        <v>10</v>
      </c>
      <c r="LT67" s="22" t="s">
        <v>11</v>
      </c>
      <c r="LU67" s="22" t="s">
        <v>12</v>
      </c>
      <c r="LV67" s="22" t="s">
        <v>13</v>
      </c>
      <c r="LW67" s="22" t="s">
        <v>14</v>
      </c>
      <c r="LX67" s="22" t="s">
        <v>22</v>
      </c>
      <c r="LY67" s="22" t="s">
        <v>4</v>
      </c>
      <c r="LZ67" s="22" t="s">
        <v>5</v>
      </c>
      <c r="MA67" s="22" t="s">
        <v>6</v>
      </c>
      <c r="MB67" s="22" t="s">
        <v>17</v>
      </c>
      <c r="MC67" s="22" t="s">
        <v>8</v>
      </c>
      <c r="MD67" s="22" t="s">
        <v>18</v>
      </c>
      <c r="ME67" s="22" t="s">
        <v>24</v>
      </c>
      <c r="MF67" s="22" t="s">
        <v>11</v>
      </c>
      <c r="MG67" s="22" t="s">
        <v>101</v>
      </c>
      <c r="MH67" s="22" t="s">
        <v>20</v>
      </c>
      <c r="MI67" s="22" t="s">
        <v>14</v>
      </c>
      <c r="MJ67" s="22" t="s">
        <v>22</v>
      </c>
      <c r="MK67" s="22" t="s">
        <v>4</v>
      </c>
      <c r="ML67" s="22" t="s">
        <v>5</v>
      </c>
      <c r="MM67" s="22" t="s">
        <v>6</v>
      </c>
      <c r="MN67" s="22" t="s">
        <v>17</v>
      </c>
      <c r="MO67" s="22" t="s">
        <v>8</v>
      </c>
      <c r="MP67" s="22" t="s">
        <v>18</v>
      </c>
      <c r="MQ67" s="22" t="s">
        <v>24</v>
      </c>
      <c r="MR67" s="22" t="s">
        <v>11</v>
      </c>
      <c r="MS67" s="22" t="s">
        <v>12</v>
      </c>
      <c r="MT67" s="22" t="s">
        <v>20</v>
      </c>
      <c r="MU67" s="22" t="s">
        <v>14</v>
      </c>
      <c r="MV67" s="22" t="s">
        <v>22</v>
      </c>
      <c r="MW67" s="22" t="s">
        <v>4</v>
      </c>
      <c r="MX67" s="22" t="s">
        <v>5</v>
      </c>
      <c r="MY67" s="22" t="s">
        <v>6</v>
      </c>
      <c r="MZ67" s="22" t="s">
        <v>7</v>
      </c>
      <c r="NA67" s="22" t="s">
        <v>8</v>
      </c>
      <c r="NB67" s="22" t="s">
        <v>18</v>
      </c>
      <c r="NC67" s="22" t="s">
        <v>24</v>
      </c>
      <c r="ND67" s="22" t="s">
        <v>11</v>
      </c>
      <c r="NE67" s="22" t="s">
        <v>12</v>
      </c>
      <c r="NF67" s="22" t="s">
        <v>20</v>
      </c>
      <c r="NG67" s="22" t="s">
        <v>14</v>
      </c>
      <c r="NH67" s="22" t="s">
        <v>22</v>
      </c>
      <c r="NI67" s="22" t="s">
        <v>19</v>
      </c>
      <c r="NJ67" s="22" t="s">
        <v>27</v>
      </c>
      <c r="NK67" s="22" t="s">
        <v>6</v>
      </c>
      <c r="NL67" s="22" t="s">
        <v>7</v>
      </c>
      <c r="NM67" s="22" t="s">
        <v>8</v>
      </c>
      <c r="NN67" s="22" t="s">
        <v>9</v>
      </c>
      <c r="NO67" s="22" t="s">
        <v>10</v>
      </c>
      <c r="NP67" s="22" t="s">
        <v>11</v>
      </c>
      <c r="NQ67" s="22" t="s">
        <v>12</v>
      </c>
      <c r="NR67" s="22" t="s">
        <v>20</v>
      </c>
      <c r="NS67" s="22" t="s">
        <v>14</v>
      </c>
      <c r="NT67" s="22" t="s">
        <v>16</v>
      </c>
      <c r="NU67" s="22" t="s">
        <v>19</v>
      </c>
      <c r="NV67" s="22" t="s">
        <v>5</v>
      </c>
      <c r="NW67" s="22" t="s">
        <v>6</v>
      </c>
      <c r="NX67" s="22" t="s">
        <v>7</v>
      </c>
      <c r="NY67" s="22" t="s">
        <v>8</v>
      </c>
      <c r="NZ67" s="22" t="s">
        <v>18</v>
      </c>
      <c r="OA67" s="22" t="s">
        <v>24</v>
      </c>
      <c r="OB67" s="22" t="s">
        <v>11</v>
      </c>
      <c r="OC67" s="22" t="s">
        <v>12</v>
      </c>
      <c r="OD67" s="22" t="s">
        <v>13</v>
      </c>
      <c r="OE67" s="22" t="s">
        <v>14</v>
      </c>
      <c r="OF67" s="22" t="s">
        <v>16</v>
      </c>
      <c r="OG67" s="22" t="s">
        <v>4</v>
      </c>
      <c r="OH67" s="22" t="s">
        <v>5</v>
      </c>
      <c r="OI67" s="22" t="s">
        <v>15</v>
      </c>
      <c r="OJ67" s="22" t="s">
        <v>7</v>
      </c>
      <c r="OK67" s="22" t="s">
        <v>8</v>
      </c>
      <c r="OL67" s="22" t="s">
        <v>18</v>
      </c>
    </row>
    <row r="68" spans="1:402" s="145" customFormat="1" x14ac:dyDescent="0.35">
      <c r="A68" s="12"/>
      <c r="B68" s="151">
        <f>'[1]Sept 07'!H21</f>
        <v>0.94974597457803478</v>
      </c>
      <c r="C68" s="151">
        <f>'[1]Oct 07'!H21</f>
        <v>0.94216786388307761</v>
      </c>
      <c r="D68" s="151">
        <f>'[1]Nov 07'!H21</f>
        <v>0.91668136649614862</v>
      </c>
      <c r="E68" s="151">
        <f>'[1]Dec 07'!H21</f>
        <v>0.92241316308143451</v>
      </c>
      <c r="F68" s="151">
        <f>'[1]Jan 08'!H21</f>
        <v>0.929710839366237</v>
      </c>
      <c r="G68" s="145">
        <v>0.93600000000000005</v>
      </c>
      <c r="H68" s="145">
        <f>'[1]Mar 08'!H21</f>
        <v>0.92290835946281724</v>
      </c>
      <c r="I68" s="145">
        <v>0.92040615787749758</v>
      </c>
      <c r="J68" s="145">
        <f>'[1]May 08'!H21</f>
        <v>0.91793695426964628</v>
      </c>
      <c r="K68" s="145">
        <v>0.94499999999999995</v>
      </c>
      <c r="L68" s="145">
        <f>'[1]Jul 08'!H21</f>
        <v>0.93119091121242648</v>
      </c>
      <c r="M68" s="145">
        <f>'[1]Aug 08'!H21</f>
        <v>0.91445208431222624</v>
      </c>
      <c r="N68" s="145">
        <v>0.9</v>
      </c>
      <c r="O68" s="145">
        <v>0.89400000000000002</v>
      </c>
      <c r="P68" s="145">
        <v>0.90400000000000003</v>
      </c>
      <c r="Q68" s="145">
        <v>0.84599999999999997</v>
      </c>
      <c r="R68" s="145">
        <v>0.83799999999999997</v>
      </c>
      <c r="S68" s="145">
        <v>0.92300000000000004</v>
      </c>
      <c r="T68" s="145">
        <v>0.90800000000000003</v>
      </c>
      <c r="U68" s="145">
        <v>0.89900000000000002</v>
      </c>
      <c r="V68" s="145">
        <v>0.80900000000000005</v>
      </c>
      <c r="W68" s="145">
        <v>0.88500000000000001</v>
      </c>
      <c r="X68" s="145">
        <v>0.85899999999999999</v>
      </c>
      <c r="Y68" s="145">
        <v>0.86499999999999999</v>
      </c>
      <c r="Z68" s="145">
        <f>1508000/1734900</f>
        <v>0.86921436394028473</v>
      </c>
      <c r="AA68" s="145">
        <v>0.92700000000000005</v>
      </c>
      <c r="AB68" s="145">
        <v>0.92800000000000005</v>
      </c>
      <c r="AC68" s="145">
        <v>0.87</v>
      </c>
      <c r="AD68" s="145">
        <v>0.82399999999999995</v>
      </c>
      <c r="AE68" s="145">
        <v>0.85699999999999998</v>
      </c>
      <c r="AF68" s="145">
        <v>0.88600000000000001</v>
      </c>
      <c r="AG68" s="145">
        <v>0.86199999999999999</v>
      </c>
      <c r="AH68" s="145">
        <v>0.84799999999999998</v>
      </c>
      <c r="AI68" s="145">
        <v>0.83599999999999997</v>
      </c>
      <c r="AJ68" s="145">
        <v>0.90600000000000003</v>
      </c>
      <c r="AK68" s="145">
        <v>0.88500000000000001</v>
      </c>
      <c r="AL68" s="145">
        <v>0.82399999999999995</v>
      </c>
      <c r="AM68" s="145">
        <v>0.85199999999999998</v>
      </c>
      <c r="AN68" s="145">
        <v>0.96599999999999997</v>
      </c>
      <c r="AO68" s="145">
        <v>0.92700000000000005</v>
      </c>
      <c r="AP68" s="145">
        <v>0.85599999999999998</v>
      </c>
      <c r="AQ68" s="145">
        <v>0.85699999999999998</v>
      </c>
      <c r="AR68" s="145">
        <v>0.90200000000000002</v>
      </c>
      <c r="AS68" s="145">
        <v>0.83399999999999996</v>
      </c>
      <c r="AT68" s="145">
        <v>0.89900000000000002</v>
      </c>
      <c r="AU68" s="145">
        <v>0.875</v>
      </c>
      <c r="AV68" s="145">
        <v>0.89</v>
      </c>
      <c r="AW68" s="145">
        <f>1516750/1782900</f>
        <v>0.8507207358797465</v>
      </c>
      <c r="AX68" s="145">
        <v>0.89100000000000001</v>
      </c>
      <c r="AY68" s="145">
        <v>0.88</v>
      </c>
      <c r="AZ68" s="145">
        <v>0.872</v>
      </c>
      <c r="BA68" s="145">
        <v>0.88900000000000001</v>
      </c>
      <c r="BB68" s="145">
        <v>0.89300000000000002</v>
      </c>
      <c r="BC68" s="145">
        <v>0.90700000000000003</v>
      </c>
      <c r="BD68" s="145">
        <v>0.88700000000000001</v>
      </c>
      <c r="BE68" s="145">
        <v>0.91400000000000003</v>
      </c>
      <c r="BF68" s="145">
        <v>0.91400000000000003</v>
      </c>
      <c r="BG68" s="145">
        <v>0.873</v>
      </c>
      <c r="BH68" s="145">
        <v>0.90500000000000003</v>
      </c>
      <c r="BI68" s="145">
        <v>0.89</v>
      </c>
      <c r="BJ68" s="145">
        <v>0.86899999999999999</v>
      </c>
      <c r="BK68" s="145">
        <v>0.94099999999999995</v>
      </c>
      <c r="BL68" s="145">
        <v>0.92500000000000004</v>
      </c>
      <c r="BM68" s="145">
        <v>0.93300000000000005</v>
      </c>
      <c r="BN68" s="145">
        <v>0.90300000000000002</v>
      </c>
      <c r="BO68" s="145">
        <v>0.91700000000000004</v>
      </c>
      <c r="BP68" s="145">
        <v>0.94599999999999995</v>
      </c>
      <c r="BQ68" s="145">
        <v>0.92300000000000004</v>
      </c>
      <c r="BR68" s="145">
        <v>0.93500000000000005</v>
      </c>
      <c r="BS68" s="145">
        <v>0.94099999999999995</v>
      </c>
      <c r="BT68" s="145">
        <v>0.98499999999999999</v>
      </c>
      <c r="BU68" s="145">
        <v>0.93200000000000005</v>
      </c>
      <c r="BV68" s="145">
        <v>0.97</v>
      </c>
      <c r="BW68" s="145">
        <v>0.94799999999999995</v>
      </c>
      <c r="BX68" s="145">
        <v>0.95399999999999996</v>
      </c>
      <c r="BY68" s="145">
        <v>0.92500000000000004</v>
      </c>
      <c r="BZ68" s="145">
        <v>0.95299999999999996</v>
      </c>
      <c r="CA68" s="145">
        <v>0.95799999999999996</v>
      </c>
      <c r="CB68" s="145">
        <v>0.94899999999999995</v>
      </c>
      <c r="CC68" s="145">
        <v>0.94899999999999995</v>
      </c>
      <c r="CD68" s="145">
        <v>0.92400000000000004</v>
      </c>
      <c r="CE68" s="145">
        <v>0.94499999999999995</v>
      </c>
      <c r="CF68" s="145">
        <v>0.98599999999999999</v>
      </c>
      <c r="CG68" s="145">
        <v>0.97699999999999998</v>
      </c>
      <c r="CH68" s="145">
        <v>0.96899999999999997</v>
      </c>
      <c r="CI68" s="145">
        <v>0.94799999999999995</v>
      </c>
      <c r="CJ68" s="145">
        <v>0.91200000000000003</v>
      </c>
      <c r="CK68" s="145">
        <v>0.97599999999999998</v>
      </c>
      <c r="CL68" s="145">
        <v>0.94499999999999995</v>
      </c>
      <c r="CM68" s="145">
        <v>0.93600000000000005</v>
      </c>
      <c r="CN68" s="145">
        <v>0.93899999999999995</v>
      </c>
      <c r="CO68" s="145">
        <v>0.92600000000000005</v>
      </c>
      <c r="CP68" s="145">
        <v>1.026</v>
      </c>
      <c r="CQ68" s="145">
        <v>0.94699999999999995</v>
      </c>
      <c r="CR68" s="145">
        <v>0.90700000000000003</v>
      </c>
      <c r="CS68" s="145">
        <v>0.94799999999999995</v>
      </c>
      <c r="CT68" s="145">
        <v>0.96199999999999997</v>
      </c>
      <c r="CU68" s="145">
        <v>0.90600000000000003</v>
      </c>
      <c r="CV68" s="145">
        <v>0.94799999999999995</v>
      </c>
      <c r="CW68" s="145">
        <v>0.94799999999999995</v>
      </c>
      <c r="CX68" s="145">
        <v>0.97899999999999998</v>
      </c>
      <c r="CY68" s="145">
        <v>0.93100000000000005</v>
      </c>
      <c r="CZ68" s="145">
        <v>0.86299999999999999</v>
      </c>
      <c r="DA68" s="145">
        <v>0.88100000000000001</v>
      </c>
      <c r="DB68" s="145">
        <v>0.89300000000000002</v>
      </c>
      <c r="DC68" s="145">
        <v>0.95199999999999996</v>
      </c>
      <c r="DD68" s="145">
        <v>0.93200000000000005</v>
      </c>
      <c r="DE68" s="145">
        <v>0.93300000000000005</v>
      </c>
      <c r="DF68" s="145">
        <v>0.93200000000000005</v>
      </c>
      <c r="DG68" s="145">
        <v>0.95399999999999996</v>
      </c>
      <c r="DH68" s="145">
        <v>0.94799999999999995</v>
      </c>
      <c r="DI68" s="145">
        <v>0.93899999999999995</v>
      </c>
      <c r="DJ68" s="145">
        <v>0.95099999999999996</v>
      </c>
      <c r="DK68" s="145">
        <v>0.94099999999999995</v>
      </c>
      <c r="DL68" s="145">
        <v>0.94599999999999995</v>
      </c>
      <c r="DM68" s="145">
        <v>0.92400000000000004</v>
      </c>
      <c r="DN68" s="145">
        <v>0.93400000000000005</v>
      </c>
      <c r="DO68" s="145">
        <v>0.94799999999999995</v>
      </c>
      <c r="DP68" s="145">
        <v>0.95399999999999996</v>
      </c>
      <c r="DQ68" s="145">
        <v>0.92200000000000004</v>
      </c>
      <c r="DR68" s="145">
        <v>0.95</v>
      </c>
      <c r="DS68" s="145">
        <v>0.96</v>
      </c>
      <c r="DT68" s="145">
        <v>0.94899999999999995</v>
      </c>
      <c r="DU68" s="145">
        <v>0.93400000000000005</v>
      </c>
      <c r="DV68" s="145">
        <v>0.94899999999999995</v>
      </c>
      <c r="DW68" s="145">
        <v>0.94799999999999995</v>
      </c>
      <c r="DX68" s="145">
        <v>0.95499999999999996</v>
      </c>
      <c r="DY68" s="145">
        <v>0.95199999999999996</v>
      </c>
      <c r="DZ68" s="145">
        <v>0.93300000000000005</v>
      </c>
      <c r="EA68" s="145">
        <v>0.94599999999999995</v>
      </c>
      <c r="EB68" s="145">
        <v>0.94899999999999995</v>
      </c>
      <c r="EC68" s="145">
        <v>0.94</v>
      </c>
      <c r="ED68" s="145">
        <v>0.95099999999999996</v>
      </c>
      <c r="EE68" s="145">
        <v>0.94899999999999995</v>
      </c>
      <c r="EF68" s="145">
        <v>0.96399999999999997</v>
      </c>
      <c r="EG68" s="145">
        <v>0.94399999999999995</v>
      </c>
      <c r="EH68" s="145">
        <v>0.95</v>
      </c>
      <c r="EI68" s="145">
        <v>0.96399999999999997</v>
      </c>
      <c r="EJ68" s="145">
        <v>0.94899999999999995</v>
      </c>
      <c r="EK68" s="145">
        <v>0.95399999999999996</v>
      </c>
      <c r="EL68" s="145">
        <v>0.96</v>
      </c>
      <c r="EM68" s="145">
        <v>0.95599999999999996</v>
      </c>
      <c r="EN68" s="145">
        <v>0.95299999999999996</v>
      </c>
      <c r="EO68" s="145">
        <v>0.94299999999999995</v>
      </c>
      <c r="EP68" s="145">
        <v>0.95</v>
      </c>
      <c r="EQ68" s="145">
        <v>0.95699999999999996</v>
      </c>
      <c r="ER68" s="145">
        <v>0.94599999999999995</v>
      </c>
      <c r="ES68" s="145">
        <v>0.95099999999999996</v>
      </c>
      <c r="ET68" s="145">
        <v>0.97699999999999998</v>
      </c>
      <c r="EU68" s="145">
        <v>0.96099999999999997</v>
      </c>
      <c r="EV68" s="145">
        <v>0.94699999999999995</v>
      </c>
      <c r="EW68" s="145">
        <v>0.97199999999999998</v>
      </c>
      <c r="EX68" s="145">
        <v>0.95599999999999996</v>
      </c>
      <c r="EY68" s="145">
        <v>0.95099999999999996</v>
      </c>
      <c r="EZ68" s="145">
        <v>0.95599999999999996</v>
      </c>
      <c r="FA68" s="145">
        <v>0.96199999999999997</v>
      </c>
      <c r="FB68" s="145">
        <v>0.97</v>
      </c>
      <c r="FC68" s="145">
        <v>0.96399999999999997</v>
      </c>
      <c r="FD68" s="145">
        <v>0.95299999999999996</v>
      </c>
      <c r="FE68" s="145">
        <v>0.96899999999999997</v>
      </c>
      <c r="FF68" s="145">
        <v>0.96399999999999997</v>
      </c>
      <c r="FG68" s="145">
        <v>0.97299999999999998</v>
      </c>
      <c r="FH68" s="145">
        <v>0.98399999999999999</v>
      </c>
      <c r="FI68" s="145">
        <v>1.002</v>
      </c>
      <c r="FJ68" s="145">
        <v>0.996</v>
      </c>
      <c r="FK68" s="145">
        <v>1.0009999999999999</v>
      </c>
      <c r="FL68" s="145">
        <v>0.99099999999999999</v>
      </c>
      <c r="FM68" s="145">
        <v>0.98</v>
      </c>
      <c r="FN68" s="145">
        <v>0.98599999999999999</v>
      </c>
      <c r="FO68" s="145">
        <v>0.99</v>
      </c>
      <c r="FP68" s="145">
        <v>0.97399999999999998</v>
      </c>
      <c r="FQ68" s="145">
        <v>1.0009999999999999</v>
      </c>
      <c r="FR68" s="145">
        <v>1.006</v>
      </c>
      <c r="FS68" s="145">
        <v>1.022</v>
      </c>
      <c r="FT68" s="145">
        <v>1.022</v>
      </c>
      <c r="FU68" s="145">
        <v>1.0569999999999999</v>
      </c>
      <c r="FV68" s="145">
        <v>1.022</v>
      </c>
      <c r="FW68" s="145">
        <v>0.99299999999999999</v>
      </c>
      <c r="FX68" s="145">
        <v>0.97</v>
      </c>
      <c r="FY68" s="145">
        <v>0.96599999999999997</v>
      </c>
      <c r="FZ68" s="145">
        <v>0.97699999999999998</v>
      </c>
      <c r="GA68" s="145">
        <v>0.95199999999999996</v>
      </c>
      <c r="GB68" s="145">
        <v>0.97099999999999997</v>
      </c>
      <c r="GC68" s="145">
        <v>0.91100000000000003</v>
      </c>
      <c r="GD68" s="145">
        <v>0.95399999999999996</v>
      </c>
      <c r="GE68" s="145">
        <v>0.95599999999999996</v>
      </c>
      <c r="GF68" s="145">
        <v>0.96199999999999997</v>
      </c>
      <c r="GG68" s="145">
        <v>0.97299999999999998</v>
      </c>
      <c r="GH68" s="145">
        <v>0.96099999999999997</v>
      </c>
      <c r="GI68" s="145">
        <v>0.96499999999999997</v>
      </c>
      <c r="GJ68" s="145">
        <v>0.97599999999999998</v>
      </c>
      <c r="GK68" s="145">
        <v>0.96499999999999997</v>
      </c>
      <c r="GL68" s="145">
        <v>0.97</v>
      </c>
      <c r="GM68" s="145">
        <v>0.97099999999999997</v>
      </c>
      <c r="GN68" s="145">
        <v>0.98099999999999998</v>
      </c>
      <c r="GO68" s="145">
        <v>0.96599999999999997</v>
      </c>
      <c r="GP68" s="145">
        <v>0.97799999999999998</v>
      </c>
      <c r="GQ68" s="145">
        <v>0.97399999999999998</v>
      </c>
      <c r="GR68" s="145">
        <v>0.96599999999999997</v>
      </c>
      <c r="GS68" s="144"/>
      <c r="GT68" s="152"/>
      <c r="GU68" s="152"/>
      <c r="GV68" s="151">
        <f>'[1]Sept 07'!H23</f>
        <v>2.8688524590163935E-2</v>
      </c>
      <c r="GW68" s="151">
        <f>'[1]Oct 07'!H23</f>
        <v>3.8610038610038609E-2</v>
      </c>
      <c r="GX68" s="151">
        <f>'[1]Nov 07'!H23</f>
        <v>1.8115942028985508E-2</v>
      </c>
      <c r="GY68" s="151">
        <f>'[1]Dec 07'!H23</f>
        <v>3.4615384615384617E-2</v>
      </c>
      <c r="GZ68" s="145">
        <f>'[1]Jan 08'!H23</f>
        <v>4.2704626334519574E-2</v>
      </c>
      <c r="HA68" s="145">
        <v>5.3999999999999999E-2</v>
      </c>
      <c r="HB68" s="145">
        <f>'[1]Mar 08'!H23</f>
        <v>4.1139240506329111E-2</v>
      </c>
      <c r="HC68" s="145">
        <v>1.5576323987538941E-2</v>
      </c>
      <c r="HD68" s="145">
        <f>'[1]May 08'!H23</f>
        <v>2.6058631921824105E-2</v>
      </c>
      <c r="HE68" s="145">
        <f>'[1]Jun 08'!H23</f>
        <v>2.1582733812949641E-2</v>
      </c>
      <c r="HF68" s="145">
        <f>'[1]Jul 08'!H23</f>
        <v>3.717472118959108E-2</v>
      </c>
      <c r="HG68" s="145">
        <v>3.3000000000000002E-2</v>
      </c>
      <c r="HH68" s="145">
        <v>2.9000000000000001E-2</v>
      </c>
      <c r="HI68" s="145">
        <v>2.7E-2</v>
      </c>
      <c r="HJ68" s="145">
        <v>2.3E-2</v>
      </c>
      <c r="HK68" s="145">
        <v>1.4E-2</v>
      </c>
      <c r="HL68" s="145">
        <v>2.4E-2</v>
      </c>
      <c r="HM68" s="145">
        <v>0.01</v>
      </c>
      <c r="HN68" s="145">
        <v>0.03</v>
      </c>
      <c r="HO68" s="145">
        <v>1.2999999999999999E-2</v>
      </c>
      <c r="HP68" s="145">
        <v>3.9E-2</v>
      </c>
      <c r="HQ68" s="145">
        <v>3.3000000000000002E-2</v>
      </c>
      <c r="HR68" s="145">
        <v>5.5E-2</v>
      </c>
      <c r="HS68" s="145">
        <v>2.5000000000000001E-2</v>
      </c>
      <c r="HT68" s="145">
        <v>4.7E-2</v>
      </c>
      <c r="HU68" s="145">
        <v>5.0999999999999997E-2</v>
      </c>
      <c r="HV68" s="145">
        <v>3.3000000000000002E-2</v>
      </c>
      <c r="HW68" s="145">
        <v>5.7000000000000002E-2</v>
      </c>
      <c r="HX68" s="145">
        <v>0.05</v>
      </c>
      <c r="HY68" s="145">
        <v>4.2000000000000003E-2</v>
      </c>
      <c r="HZ68" s="145">
        <v>6.8000000000000005E-2</v>
      </c>
      <c r="IA68" s="145">
        <v>3.5999999999999997E-2</v>
      </c>
      <c r="IB68" s="145">
        <v>0.05</v>
      </c>
      <c r="IC68" s="145">
        <v>0.06</v>
      </c>
      <c r="ID68" s="145">
        <v>0.04</v>
      </c>
      <c r="IE68" s="145">
        <v>0.04</v>
      </c>
      <c r="IF68" s="145">
        <v>4.2000000000000003E-2</v>
      </c>
      <c r="IG68" s="145">
        <v>3.6999999999999998E-2</v>
      </c>
      <c r="IH68" s="145">
        <v>0.03</v>
      </c>
      <c r="II68" s="145">
        <v>0.03</v>
      </c>
      <c r="IJ68" s="145">
        <v>0.03</v>
      </c>
      <c r="IK68" s="145">
        <v>4.2000000000000003E-2</v>
      </c>
      <c r="IL68" s="145">
        <v>7.6999999999999999E-2</v>
      </c>
      <c r="IM68" s="145">
        <v>3.6999999999999998E-2</v>
      </c>
      <c r="IN68" s="145">
        <v>8.4000000000000005E-2</v>
      </c>
      <c r="IO68" s="145">
        <v>7.0000000000000007E-2</v>
      </c>
      <c r="IP68" s="145">
        <v>0.10199999999999999</v>
      </c>
      <c r="IQ68" s="145">
        <v>8.3000000000000004E-2</v>
      </c>
      <c r="IR68" s="145">
        <v>5.6000000000000001E-2</v>
      </c>
      <c r="IS68" s="145">
        <v>5.8999999999999997E-2</v>
      </c>
      <c r="IT68" s="145">
        <v>2.9000000000000001E-2</v>
      </c>
      <c r="IU68" s="145">
        <v>3.6999999999999998E-2</v>
      </c>
      <c r="IV68" s="145">
        <v>6.5000000000000002E-2</v>
      </c>
      <c r="IW68" s="145">
        <v>5.3999999999999999E-2</v>
      </c>
      <c r="IX68" s="145">
        <v>6.7000000000000004E-2</v>
      </c>
      <c r="IY68" s="145">
        <v>6.8000000000000005E-2</v>
      </c>
      <c r="IZ68" s="145">
        <v>7.5999999999999998E-2</v>
      </c>
      <c r="JA68" s="145">
        <v>8.5000000000000006E-2</v>
      </c>
      <c r="JB68" s="145">
        <v>0.08</v>
      </c>
      <c r="JC68" s="145">
        <v>8.5000000000000006E-2</v>
      </c>
      <c r="JD68" s="145">
        <v>0.04</v>
      </c>
      <c r="JE68" s="145">
        <v>5.8000000000000003E-2</v>
      </c>
      <c r="JF68" s="145">
        <v>8.7999999999999995E-2</v>
      </c>
      <c r="JG68" s="145">
        <v>8.5000000000000006E-2</v>
      </c>
      <c r="JH68" s="145">
        <v>6.8000000000000005E-2</v>
      </c>
      <c r="JI68" s="145">
        <v>0.10100000000000001</v>
      </c>
      <c r="JJ68" s="145">
        <v>0.09</v>
      </c>
      <c r="JK68" s="145">
        <v>5.0999999999999997E-2</v>
      </c>
      <c r="JL68" s="145">
        <v>0.14299999999999999</v>
      </c>
      <c r="JM68" s="145">
        <v>0.17799999999999999</v>
      </c>
      <c r="JN68" s="145">
        <v>9.0999999999999998E-2</v>
      </c>
      <c r="JO68" s="145">
        <v>0.10100000000000001</v>
      </c>
      <c r="JP68" s="145">
        <v>8.1000000000000003E-2</v>
      </c>
      <c r="JQ68" s="145">
        <v>3.5999999999999997E-2</v>
      </c>
      <c r="JR68" s="145">
        <v>7.0000000000000007E-2</v>
      </c>
      <c r="JS68" s="145">
        <v>0.113</v>
      </c>
      <c r="JT68" s="145">
        <v>6.2E-2</v>
      </c>
      <c r="JU68" s="145">
        <v>7.0000000000000007E-2</v>
      </c>
      <c r="JV68" s="145">
        <v>5.1999999999999998E-2</v>
      </c>
      <c r="JW68" s="145">
        <v>8.8999999999999996E-2</v>
      </c>
      <c r="JX68" s="145">
        <v>8.6999999999999994E-2</v>
      </c>
      <c r="JY68" s="145">
        <v>0.16</v>
      </c>
      <c r="JZ68" s="145">
        <v>6.7000000000000004E-2</v>
      </c>
      <c r="KA68" s="145">
        <v>6.8000000000000005E-2</v>
      </c>
      <c r="KB68" s="145">
        <v>0.10299999999999999</v>
      </c>
      <c r="KC68" s="145">
        <v>5.2999999999999999E-2</v>
      </c>
      <c r="KD68" s="145">
        <v>3.4000000000000002E-2</v>
      </c>
      <c r="KE68" s="145">
        <v>0.106</v>
      </c>
      <c r="KF68" s="145">
        <v>3.9E-2</v>
      </c>
      <c r="KG68" s="145">
        <v>5.7000000000000002E-2</v>
      </c>
      <c r="KH68" s="145">
        <v>3.9E-2</v>
      </c>
      <c r="KI68" s="145">
        <v>6.3E-2</v>
      </c>
      <c r="KJ68" s="145">
        <v>5.5E-2</v>
      </c>
      <c r="KK68" s="145">
        <v>0.13</v>
      </c>
      <c r="KL68" s="145">
        <v>0.06</v>
      </c>
      <c r="KM68" s="145">
        <v>8.7999999999999995E-2</v>
      </c>
      <c r="KN68" s="145">
        <v>3.5000000000000003E-2</v>
      </c>
      <c r="KO68" s="145">
        <v>4.1000000000000002E-2</v>
      </c>
      <c r="KP68" s="145">
        <v>5.8000000000000003E-2</v>
      </c>
      <c r="KQ68" s="145">
        <v>6.8000000000000005E-2</v>
      </c>
      <c r="KR68" s="145">
        <v>5.2999999999999999E-2</v>
      </c>
      <c r="KS68" s="145">
        <v>3.9E-2</v>
      </c>
      <c r="KT68" s="145">
        <v>5.8999999999999997E-2</v>
      </c>
      <c r="KU68" s="145">
        <v>0.08</v>
      </c>
      <c r="KV68" s="145">
        <v>0.08</v>
      </c>
      <c r="KW68" s="145">
        <v>8.1000000000000003E-2</v>
      </c>
      <c r="KX68" s="145">
        <v>0.05</v>
      </c>
      <c r="KY68" s="145">
        <v>6.5000000000000002E-2</v>
      </c>
      <c r="KZ68" s="145">
        <v>3.7999999999999999E-2</v>
      </c>
      <c r="LA68" s="145">
        <v>3.4000000000000002E-2</v>
      </c>
      <c r="LB68" s="145">
        <v>6.7000000000000004E-2</v>
      </c>
      <c r="LC68" s="145">
        <v>6.9000000000000006E-2</v>
      </c>
      <c r="LD68" s="145">
        <v>5.3999999999999999E-2</v>
      </c>
      <c r="LE68" s="145">
        <v>0.03</v>
      </c>
      <c r="LF68" s="145">
        <v>7.4999999999999997E-2</v>
      </c>
      <c r="LG68" s="145">
        <v>4.1000000000000002E-2</v>
      </c>
      <c r="LH68" s="145">
        <v>7.2999999999999995E-2</v>
      </c>
      <c r="LI68" s="145">
        <v>0.13</v>
      </c>
      <c r="LJ68" s="145">
        <v>0.11700000000000001</v>
      </c>
      <c r="LK68" s="145">
        <v>5.8999999999999997E-2</v>
      </c>
      <c r="LL68" s="145">
        <v>6.5000000000000002E-2</v>
      </c>
      <c r="LM68" s="145">
        <v>1.7999999999999999E-2</v>
      </c>
      <c r="LN68" s="145">
        <v>5.1999999999999998E-2</v>
      </c>
      <c r="LO68" s="145">
        <v>8.3000000000000004E-2</v>
      </c>
      <c r="LP68" s="145">
        <v>7.6999999999999999E-2</v>
      </c>
      <c r="LQ68" s="145">
        <v>5.7000000000000002E-2</v>
      </c>
      <c r="LR68" s="145">
        <v>7.2999999999999995E-2</v>
      </c>
      <c r="LS68" s="145">
        <v>0.06</v>
      </c>
      <c r="LT68" s="145">
        <v>0.05</v>
      </c>
      <c r="LU68" s="145">
        <v>0.13700000000000001</v>
      </c>
      <c r="LV68" s="145">
        <v>8.6999999999999994E-2</v>
      </c>
      <c r="LW68" s="145">
        <v>6.3E-2</v>
      </c>
      <c r="LX68" s="145">
        <v>0.125</v>
      </c>
      <c r="LY68" s="145">
        <v>0.105</v>
      </c>
      <c r="LZ68" s="145">
        <v>0.09</v>
      </c>
      <c r="MA68" s="145">
        <v>7.8E-2</v>
      </c>
      <c r="MB68" s="145">
        <v>0.05</v>
      </c>
      <c r="MC68" s="145">
        <v>6.3E-2</v>
      </c>
      <c r="MD68" s="145">
        <v>6.9000000000000006E-2</v>
      </c>
      <c r="ME68" s="145">
        <v>0.13900000000000001</v>
      </c>
      <c r="MF68" s="145">
        <v>0.14000000000000001</v>
      </c>
      <c r="MG68" s="145">
        <v>0.14299999999999999</v>
      </c>
      <c r="MH68" s="145">
        <v>0.14799999999999999</v>
      </c>
      <c r="MI68" s="145">
        <v>8.7999999999999995E-2</v>
      </c>
      <c r="MJ68" s="145">
        <v>5.7000000000000002E-2</v>
      </c>
      <c r="MK68" s="145">
        <v>8.2000000000000003E-2</v>
      </c>
      <c r="ML68" s="145">
        <v>0.104</v>
      </c>
      <c r="MM68" s="145">
        <v>0.13300000000000001</v>
      </c>
      <c r="MN68" s="145">
        <v>0.09</v>
      </c>
      <c r="MO68" s="145">
        <v>0.193</v>
      </c>
      <c r="MP68" s="145">
        <v>0.20599999999999999</v>
      </c>
      <c r="MQ68" s="145">
        <v>0.14899999999999999</v>
      </c>
      <c r="MR68" s="145">
        <v>0.10299999999999999</v>
      </c>
      <c r="MS68" s="145">
        <v>0.16300000000000001</v>
      </c>
      <c r="MT68" s="145">
        <v>0.26100000000000001</v>
      </c>
      <c r="MU68" s="145">
        <v>0.19800000000000001</v>
      </c>
      <c r="MV68" s="145">
        <v>0.39100000000000001</v>
      </c>
      <c r="MW68" s="145">
        <v>0.39800000000000002</v>
      </c>
      <c r="MX68" s="145">
        <v>0.28100000000000003</v>
      </c>
      <c r="MY68" s="145">
        <v>0.54900000000000004</v>
      </c>
      <c r="MZ68" s="145">
        <v>0.47599999999999998</v>
      </c>
      <c r="NA68" s="145">
        <v>1.0649999999999999</v>
      </c>
      <c r="NB68" s="145">
        <v>1.2609999999999999</v>
      </c>
      <c r="NC68" s="145">
        <v>0.92600000000000005</v>
      </c>
      <c r="ND68" s="145">
        <v>0.95599999999999996</v>
      </c>
      <c r="NE68" s="145">
        <v>1.268</v>
      </c>
      <c r="NF68" s="145">
        <v>0.90700000000000003</v>
      </c>
      <c r="NG68" s="145">
        <v>0.93300000000000005</v>
      </c>
      <c r="NH68" s="145">
        <v>0.57399999999999995</v>
      </c>
      <c r="NI68" s="145">
        <v>0.73099999999999998</v>
      </c>
      <c r="NJ68" s="145">
        <v>0.73299999999999998</v>
      </c>
      <c r="NK68" s="145">
        <v>0.73299999999999998</v>
      </c>
      <c r="NL68" s="145">
        <v>1.484</v>
      </c>
      <c r="NM68" s="145">
        <v>2.1539999999999999</v>
      </c>
      <c r="NN68" s="145">
        <v>1.2390000000000001</v>
      </c>
      <c r="NO68" s="145">
        <v>0.80900000000000005</v>
      </c>
      <c r="NP68" s="145">
        <v>0.59099999999999997</v>
      </c>
      <c r="NQ68" s="145">
        <v>0.46600000000000003</v>
      </c>
      <c r="NR68" s="145">
        <v>0.246</v>
      </c>
      <c r="NS68" s="145">
        <v>0.33600000000000002</v>
      </c>
      <c r="NT68" s="145">
        <v>0.24299999999999999</v>
      </c>
      <c r="NU68" s="145">
        <v>0.21199999999999999</v>
      </c>
      <c r="NV68" s="145">
        <v>0.27800000000000002</v>
      </c>
      <c r="NW68" s="145">
        <v>0.23</v>
      </c>
      <c r="NX68" s="145">
        <v>0.19700000000000001</v>
      </c>
      <c r="NY68" s="145">
        <v>0.20499999999999999</v>
      </c>
      <c r="NZ68" s="145">
        <v>0.32100000000000001</v>
      </c>
      <c r="OA68" s="145">
        <v>0.40400000000000003</v>
      </c>
      <c r="OB68" s="145">
        <v>0.50900000000000001</v>
      </c>
      <c r="OC68" s="145">
        <v>0.51500000000000001</v>
      </c>
      <c r="OD68" s="145">
        <v>0.34300000000000003</v>
      </c>
      <c r="OE68" s="145">
        <v>0.373</v>
      </c>
      <c r="OF68" s="145">
        <v>0.248</v>
      </c>
      <c r="OG68" s="145">
        <v>0.17100000000000001</v>
      </c>
      <c r="OH68" s="145">
        <v>0.19</v>
      </c>
      <c r="OI68" s="145">
        <v>0.27300000000000002</v>
      </c>
      <c r="OJ68" s="145">
        <v>0.186</v>
      </c>
      <c r="OK68" s="145">
        <v>0.314</v>
      </c>
      <c r="OL68" s="145">
        <v>0.27</v>
      </c>
    </row>
    <row r="70" spans="1:402" ht="14.5" x14ac:dyDescent="0.35">
      <c r="A70" s="28"/>
    </row>
    <row r="71" spans="1:402" ht="17.5" x14ac:dyDescent="0.35">
      <c r="A71" s="8" t="s">
        <v>48</v>
      </c>
      <c r="B71" s="47"/>
      <c r="C71" s="47"/>
      <c r="D71" s="47"/>
      <c r="E71" s="47"/>
      <c r="F71" s="47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47"/>
      <c r="GU71" s="47"/>
      <c r="GV71" s="47"/>
      <c r="GW71" s="47"/>
      <c r="GX71" s="47"/>
      <c r="GY71" s="47"/>
      <c r="GZ71" s="38"/>
      <c r="HA71" s="38"/>
      <c r="HB71" s="38"/>
      <c r="HC71" s="38"/>
      <c r="HD71" s="38"/>
      <c r="HE71" s="38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/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/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/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/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</row>
    <row r="72" spans="1:402" ht="16" thickBot="1" x14ac:dyDescent="0.4">
      <c r="A72" s="12" t="s">
        <v>47</v>
      </c>
      <c r="GU72" s="12" t="s">
        <v>2</v>
      </c>
    </row>
    <row r="73" spans="1:402" x14ac:dyDescent="0.35">
      <c r="B73" s="13">
        <v>2007</v>
      </c>
      <c r="C73" s="13"/>
      <c r="D73" s="13"/>
      <c r="E73" s="14"/>
      <c r="F73" s="15">
        <v>2008</v>
      </c>
      <c r="G73" s="16"/>
      <c r="H73" s="17"/>
      <c r="I73" s="16"/>
      <c r="J73" s="16"/>
      <c r="K73" s="16"/>
      <c r="L73" s="18"/>
      <c r="M73" s="18"/>
      <c r="N73" s="18"/>
      <c r="O73" s="18"/>
      <c r="P73" s="18"/>
      <c r="Q73" s="18"/>
      <c r="R73" s="19">
        <v>2009</v>
      </c>
      <c r="S73" s="19"/>
      <c r="T73" s="19"/>
      <c r="U73" s="19"/>
      <c r="V73" s="16"/>
      <c r="W73" s="16"/>
      <c r="X73" s="16"/>
      <c r="Y73" s="16"/>
      <c r="Z73" s="16"/>
      <c r="AA73" s="16"/>
      <c r="AB73" s="16"/>
      <c r="AC73" s="16"/>
      <c r="AD73" s="19">
        <v>2010</v>
      </c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>
        <v>2011</v>
      </c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9">
        <v>2012</v>
      </c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9">
        <v>2013</v>
      </c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>
        <v>2014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>
        <v>2015</v>
      </c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9">
        <v>2016</v>
      </c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9">
        <v>2017</v>
      </c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>
        <v>2018</v>
      </c>
      <c r="DW73" s="19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9">
        <v>2019</v>
      </c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9">
        <v>2020</v>
      </c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9">
        <v>2021</v>
      </c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>
        <v>2022</v>
      </c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>
        <v>2023</v>
      </c>
      <c r="GE73" s="19"/>
      <c r="GF73" s="16"/>
      <c r="GG73" s="19">
        <v>2023</v>
      </c>
      <c r="GH73" s="16"/>
      <c r="GI73" s="16"/>
      <c r="GJ73" s="16"/>
      <c r="GK73" s="16"/>
      <c r="GL73" s="16"/>
      <c r="GM73" s="16"/>
      <c r="GN73" s="16"/>
      <c r="GO73" s="16"/>
      <c r="GP73" s="19">
        <v>2024</v>
      </c>
      <c r="GQ73" s="19"/>
      <c r="GR73" s="183"/>
      <c r="GS73" s="13"/>
      <c r="GV73" s="13">
        <v>2007</v>
      </c>
      <c r="GW73" s="13"/>
      <c r="GX73" s="13"/>
      <c r="GY73" s="14"/>
      <c r="GZ73" s="15">
        <v>2008</v>
      </c>
      <c r="HA73" s="16"/>
      <c r="HB73" s="17"/>
      <c r="HC73" s="16"/>
      <c r="HD73" s="16"/>
      <c r="HE73" s="16"/>
      <c r="HF73" s="18"/>
      <c r="HG73" s="18"/>
      <c r="HH73" s="18"/>
      <c r="HI73" s="18"/>
      <c r="HJ73" s="18"/>
      <c r="HK73" s="18"/>
      <c r="HL73" s="19">
        <v>2009</v>
      </c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>
        <v>2010</v>
      </c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>
        <v>2011</v>
      </c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>
        <v>2012</v>
      </c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>
        <v>2013</v>
      </c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>
        <v>2014</v>
      </c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>
        <v>2015</v>
      </c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>
        <v>2016</v>
      </c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>
        <v>2017</v>
      </c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>
        <v>2018</v>
      </c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>
        <v>2019</v>
      </c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>
        <v>2020</v>
      </c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>
        <v>2021</v>
      </c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>
        <v>2022</v>
      </c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>
        <v>2023</v>
      </c>
      <c r="NY73" s="19"/>
      <c r="NZ73" s="19"/>
      <c r="OA73" s="19">
        <v>2023</v>
      </c>
      <c r="OB73" s="19"/>
      <c r="OC73" s="19"/>
      <c r="OD73" s="19"/>
      <c r="OE73" s="19"/>
      <c r="OF73" s="19"/>
      <c r="OG73" s="19"/>
      <c r="OH73" s="19"/>
      <c r="OI73" s="19"/>
      <c r="OJ73" s="19">
        <v>2024</v>
      </c>
      <c r="OK73" s="19"/>
      <c r="OL73" s="19"/>
    </row>
    <row r="74" spans="1:402" x14ac:dyDescent="0.35">
      <c r="B74" s="20" t="s">
        <v>3</v>
      </c>
      <c r="C74" s="21" t="s">
        <v>4</v>
      </c>
      <c r="D74" s="20" t="s">
        <v>5</v>
      </c>
      <c r="E74" s="20" t="s">
        <v>6</v>
      </c>
      <c r="F74" s="20" t="s">
        <v>7</v>
      </c>
      <c r="G74" s="20" t="s">
        <v>8</v>
      </c>
      <c r="H74" s="20" t="s">
        <v>9</v>
      </c>
      <c r="I74" s="20" t="s">
        <v>10</v>
      </c>
      <c r="J74" s="20" t="s">
        <v>11</v>
      </c>
      <c r="K74" s="20" t="s">
        <v>12</v>
      </c>
      <c r="L74" s="20" t="s">
        <v>13</v>
      </c>
      <c r="M74" s="20" t="s">
        <v>14</v>
      </c>
      <c r="N74" s="20" t="s">
        <v>3</v>
      </c>
      <c r="O74" s="20" t="s">
        <v>4</v>
      </c>
      <c r="P74" s="20" t="s">
        <v>5</v>
      </c>
      <c r="Q74" s="20" t="s">
        <v>15</v>
      </c>
      <c r="R74" s="22" t="s">
        <v>7</v>
      </c>
      <c r="S74" s="22" t="s">
        <v>8</v>
      </c>
      <c r="T74" s="22" t="s">
        <v>9</v>
      </c>
      <c r="U74" s="22" t="s">
        <v>10</v>
      </c>
      <c r="V74" s="22" t="s">
        <v>11</v>
      </c>
      <c r="W74" s="22" t="s">
        <v>12</v>
      </c>
      <c r="X74" s="22" t="s">
        <v>13</v>
      </c>
      <c r="Y74" s="22" t="s">
        <v>14</v>
      </c>
      <c r="Z74" s="22" t="s">
        <v>16</v>
      </c>
      <c r="AA74" s="22" t="s">
        <v>4</v>
      </c>
      <c r="AB74" s="22" t="s">
        <v>5</v>
      </c>
      <c r="AC74" s="22" t="s">
        <v>6</v>
      </c>
      <c r="AD74" s="22" t="s">
        <v>17</v>
      </c>
      <c r="AE74" s="22" t="s">
        <v>8</v>
      </c>
      <c r="AF74" s="22" t="s">
        <v>18</v>
      </c>
      <c r="AG74" s="22" t="s">
        <v>10</v>
      </c>
      <c r="AH74" s="22" t="s">
        <v>11</v>
      </c>
      <c r="AI74" s="22" t="s">
        <v>12</v>
      </c>
      <c r="AJ74" s="22" t="s">
        <v>13</v>
      </c>
      <c r="AK74" s="22" t="s">
        <v>14</v>
      </c>
      <c r="AL74" s="22" t="s">
        <v>16</v>
      </c>
      <c r="AM74" s="22" t="s">
        <v>19</v>
      </c>
      <c r="AN74" s="22" t="s">
        <v>5</v>
      </c>
      <c r="AO74" s="22" t="s">
        <v>6</v>
      </c>
      <c r="AP74" s="22" t="s">
        <v>7</v>
      </c>
      <c r="AQ74" s="22" t="s">
        <v>8</v>
      </c>
      <c r="AR74" s="22" t="s">
        <v>9</v>
      </c>
      <c r="AS74" s="22" t="s">
        <v>10</v>
      </c>
      <c r="AT74" s="22" t="s">
        <v>11</v>
      </c>
      <c r="AU74" s="22" t="s">
        <v>12</v>
      </c>
      <c r="AV74" s="22" t="s">
        <v>13</v>
      </c>
      <c r="AW74" s="22" t="s">
        <v>14</v>
      </c>
      <c r="AX74" s="22" t="s">
        <v>3</v>
      </c>
      <c r="AY74" s="22" t="s">
        <v>4</v>
      </c>
      <c r="AZ74" s="22" t="s">
        <v>5</v>
      </c>
      <c r="BA74" s="22" t="s">
        <v>15</v>
      </c>
      <c r="BB74" s="22" t="s">
        <v>7</v>
      </c>
      <c r="BC74" s="22" t="s">
        <v>8</v>
      </c>
      <c r="BD74" s="22" t="s">
        <v>18</v>
      </c>
      <c r="BE74" s="22" t="s">
        <v>10</v>
      </c>
      <c r="BF74" s="22" t="s">
        <v>11</v>
      </c>
      <c r="BG74" s="22" t="s">
        <v>12</v>
      </c>
      <c r="BH74" s="22" t="s">
        <v>20</v>
      </c>
      <c r="BI74" s="22" t="s">
        <v>21</v>
      </c>
      <c r="BJ74" s="22" t="s">
        <v>16</v>
      </c>
      <c r="BK74" s="22" t="s">
        <v>19</v>
      </c>
      <c r="BL74" s="22" t="s">
        <v>5</v>
      </c>
      <c r="BM74" s="22" t="s">
        <v>15</v>
      </c>
      <c r="BN74" s="22" t="s">
        <v>7</v>
      </c>
      <c r="BO74" s="22" t="s">
        <v>8</v>
      </c>
      <c r="BP74" s="22" t="s">
        <v>9</v>
      </c>
      <c r="BQ74" s="22" t="s">
        <v>10</v>
      </c>
      <c r="BR74" s="22" t="s">
        <v>11</v>
      </c>
      <c r="BS74" s="22" t="s">
        <v>12</v>
      </c>
      <c r="BT74" s="22" t="s">
        <v>20</v>
      </c>
      <c r="BU74" s="22" t="s">
        <v>21</v>
      </c>
      <c r="BV74" s="22" t="s">
        <v>22</v>
      </c>
      <c r="BW74" s="22" t="s">
        <v>4</v>
      </c>
      <c r="BX74" s="22" t="s">
        <v>5</v>
      </c>
      <c r="BY74" s="22" t="s">
        <v>6</v>
      </c>
      <c r="BZ74" s="22" t="s">
        <v>17</v>
      </c>
      <c r="CA74" s="22" t="s">
        <v>23</v>
      </c>
      <c r="CB74" s="22" t="s">
        <v>18</v>
      </c>
      <c r="CC74" s="22" t="s">
        <v>24</v>
      </c>
      <c r="CD74" s="22" t="s">
        <v>11</v>
      </c>
      <c r="CE74" s="22" t="s">
        <v>12</v>
      </c>
      <c r="CF74" s="22" t="s">
        <v>13</v>
      </c>
      <c r="CG74" s="22" t="s">
        <v>14</v>
      </c>
      <c r="CH74" s="22" t="s">
        <v>16</v>
      </c>
      <c r="CI74" s="22" t="s">
        <v>4</v>
      </c>
      <c r="CJ74" s="22" t="s">
        <v>5</v>
      </c>
      <c r="CK74" s="22" t="s">
        <v>6</v>
      </c>
      <c r="CL74" s="22" t="s">
        <v>7</v>
      </c>
      <c r="CM74" s="22" t="s">
        <v>8</v>
      </c>
      <c r="CN74" s="22" t="s">
        <v>18</v>
      </c>
      <c r="CO74" s="22" t="s">
        <v>10</v>
      </c>
      <c r="CP74" s="22" t="s">
        <v>11</v>
      </c>
      <c r="CQ74" s="22" t="s">
        <v>12</v>
      </c>
      <c r="CR74" s="22" t="s">
        <v>20</v>
      </c>
      <c r="CS74" s="22" t="s">
        <v>14</v>
      </c>
      <c r="CT74" s="22" t="s">
        <v>22</v>
      </c>
      <c r="CU74" s="22" t="s">
        <v>19</v>
      </c>
      <c r="CV74" s="22" t="s">
        <v>5</v>
      </c>
      <c r="CW74" s="22" t="s">
        <v>15</v>
      </c>
      <c r="CX74" s="22" t="s">
        <v>7</v>
      </c>
      <c r="CY74" s="22" t="s">
        <v>23</v>
      </c>
      <c r="CZ74" s="22" t="s">
        <v>18</v>
      </c>
      <c r="DA74" s="22" t="s">
        <v>24</v>
      </c>
      <c r="DB74" s="22" t="s">
        <v>11</v>
      </c>
      <c r="DC74" s="22" t="s">
        <v>12</v>
      </c>
      <c r="DD74" s="22" t="s">
        <v>13</v>
      </c>
      <c r="DE74" s="22" t="s">
        <v>14</v>
      </c>
      <c r="DF74" s="22" t="s">
        <v>16</v>
      </c>
      <c r="DG74" s="22" t="s">
        <v>4</v>
      </c>
      <c r="DH74" s="22" t="s">
        <v>5</v>
      </c>
      <c r="DI74" s="22" t="s">
        <v>15</v>
      </c>
      <c r="DJ74" s="22" t="s">
        <v>7</v>
      </c>
      <c r="DK74" s="22" t="s">
        <v>8</v>
      </c>
      <c r="DL74" s="22" t="s">
        <v>18</v>
      </c>
      <c r="DM74" s="22" t="s">
        <v>24</v>
      </c>
      <c r="DN74" s="22" t="s">
        <v>11</v>
      </c>
      <c r="DO74" s="22" t="s">
        <v>12</v>
      </c>
      <c r="DP74" s="22" t="s">
        <v>20</v>
      </c>
      <c r="DQ74" s="22" t="s">
        <v>14</v>
      </c>
      <c r="DR74" s="22" t="s">
        <v>22</v>
      </c>
      <c r="DS74" s="22" t="s">
        <v>19</v>
      </c>
      <c r="DT74" s="22" t="s">
        <v>5</v>
      </c>
      <c r="DU74" s="22" t="s">
        <v>15</v>
      </c>
      <c r="DV74" s="22" t="s">
        <v>7</v>
      </c>
      <c r="DW74" s="22" t="s">
        <v>8</v>
      </c>
      <c r="DX74" s="22" t="s">
        <v>18</v>
      </c>
      <c r="DY74" s="22" t="s">
        <v>24</v>
      </c>
      <c r="DZ74" s="22" t="s">
        <v>11</v>
      </c>
      <c r="EA74" s="22" t="s">
        <v>12</v>
      </c>
      <c r="EB74" s="22" t="s">
        <v>20</v>
      </c>
      <c r="EC74" s="22" t="s">
        <v>21</v>
      </c>
      <c r="ED74" s="22" t="s">
        <v>22</v>
      </c>
      <c r="EE74" s="22" t="s">
        <v>4</v>
      </c>
      <c r="EF74" s="22" t="s">
        <v>5</v>
      </c>
      <c r="EG74" s="22" t="s">
        <v>15</v>
      </c>
      <c r="EH74" s="22" t="s">
        <v>17</v>
      </c>
      <c r="EI74" s="22" t="s">
        <v>23</v>
      </c>
      <c r="EJ74" s="22" t="s">
        <v>18</v>
      </c>
      <c r="EK74" s="22" t="s">
        <v>24</v>
      </c>
      <c r="EL74" s="22" t="s">
        <v>11</v>
      </c>
      <c r="EM74" s="22" t="s">
        <v>12</v>
      </c>
      <c r="EN74" s="22" t="s">
        <v>20</v>
      </c>
      <c r="EO74" s="22" t="s">
        <v>21</v>
      </c>
      <c r="EP74" s="22" t="s">
        <v>22</v>
      </c>
      <c r="EQ74" s="22" t="s">
        <v>4</v>
      </c>
      <c r="ER74" s="22" t="s">
        <v>5</v>
      </c>
      <c r="ES74" s="22" t="s">
        <v>6</v>
      </c>
      <c r="ET74" s="22" t="s">
        <v>17</v>
      </c>
      <c r="EU74" s="22" t="s">
        <v>8</v>
      </c>
      <c r="EV74" s="22" t="s">
        <v>18</v>
      </c>
      <c r="EW74" s="22" t="s">
        <v>24</v>
      </c>
      <c r="EX74" s="22" t="s">
        <v>11</v>
      </c>
      <c r="EY74" s="22" t="s">
        <v>12</v>
      </c>
      <c r="EZ74" s="22" t="s">
        <v>20</v>
      </c>
      <c r="FA74" s="22" t="s">
        <v>14</v>
      </c>
      <c r="FB74" s="22" t="s">
        <v>22</v>
      </c>
      <c r="FC74" s="22" t="s">
        <v>4</v>
      </c>
      <c r="FD74" s="22" t="s">
        <v>5</v>
      </c>
      <c r="FE74" s="22" t="s">
        <v>6</v>
      </c>
      <c r="FF74" s="22" t="s">
        <v>7</v>
      </c>
      <c r="FG74" s="22" t="s">
        <v>8</v>
      </c>
      <c r="FH74" s="22" t="s">
        <v>9</v>
      </c>
      <c r="FI74" s="22" t="s">
        <v>24</v>
      </c>
      <c r="FJ74" s="22" t="s">
        <v>11</v>
      </c>
      <c r="FK74" s="22" t="s">
        <v>12</v>
      </c>
      <c r="FL74" s="22" t="s">
        <v>20</v>
      </c>
      <c r="FM74" s="22" t="s">
        <v>14</v>
      </c>
      <c r="FN74" s="22" t="s">
        <v>22</v>
      </c>
      <c r="FO74" s="22" t="s">
        <v>19</v>
      </c>
      <c r="FP74" s="22" t="s">
        <v>27</v>
      </c>
      <c r="FQ74" s="22" t="s">
        <v>15</v>
      </c>
      <c r="FR74" s="22" t="s">
        <v>7</v>
      </c>
      <c r="FS74" s="22" t="s">
        <v>8</v>
      </c>
      <c r="FT74" s="22" t="s">
        <v>9</v>
      </c>
      <c r="FU74" s="22" t="s">
        <v>10</v>
      </c>
      <c r="FV74" s="22" t="s">
        <v>11</v>
      </c>
      <c r="FW74" s="22" t="s">
        <v>12</v>
      </c>
      <c r="FX74" s="22" t="s">
        <v>20</v>
      </c>
      <c r="FY74" s="22" t="s">
        <v>14</v>
      </c>
      <c r="FZ74" s="22" t="s">
        <v>16</v>
      </c>
      <c r="GA74" s="22" t="s">
        <v>19</v>
      </c>
      <c r="GB74" s="22" t="s">
        <v>5</v>
      </c>
      <c r="GC74" s="22" t="s">
        <v>6</v>
      </c>
      <c r="GD74" s="22" t="s">
        <v>7</v>
      </c>
      <c r="GE74" s="22" t="s">
        <v>8</v>
      </c>
      <c r="GF74" s="22" t="s">
        <v>9</v>
      </c>
      <c r="GG74" s="22" t="s">
        <v>24</v>
      </c>
      <c r="GH74" s="22" t="s">
        <v>11</v>
      </c>
      <c r="GI74" s="22" t="s">
        <v>12</v>
      </c>
      <c r="GJ74" s="22" t="s">
        <v>13</v>
      </c>
      <c r="GK74" s="22" t="s">
        <v>14</v>
      </c>
      <c r="GL74" s="22" t="s">
        <v>16</v>
      </c>
      <c r="GM74" s="22" t="s">
        <v>4</v>
      </c>
      <c r="GN74" s="22" t="s">
        <v>5</v>
      </c>
      <c r="GO74" s="22" t="s">
        <v>6</v>
      </c>
      <c r="GP74" s="22" t="s">
        <v>7</v>
      </c>
      <c r="GQ74" s="22" t="s">
        <v>8</v>
      </c>
      <c r="GR74" s="22" t="s">
        <v>18</v>
      </c>
      <c r="GS74" s="22" t="s">
        <v>25</v>
      </c>
      <c r="GT74" s="2"/>
      <c r="GU74" s="2"/>
      <c r="GV74" s="20" t="s">
        <v>3</v>
      </c>
      <c r="GW74" s="21" t="s">
        <v>4</v>
      </c>
      <c r="GX74" s="20" t="s">
        <v>5</v>
      </c>
      <c r="GY74" s="20" t="s">
        <v>6</v>
      </c>
      <c r="GZ74" s="20" t="s">
        <v>7</v>
      </c>
      <c r="HA74" s="20" t="s">
        <v>8</v>
      </c>
      <c r="HB74" s="20" t="s">
        <v>9</v>
      </c>
      <c r="HC74" s="20" t="s">
        <v>10</v>
      </c>
      <c r="HD74" s="20" t="s">
        <v>11</v>
      </c>
      <c r="HE74" s="20" t="s">
        <v>12</v>
      </c>
      <c r="HF74" s="20" t="s">
        <v>13</v>
      </c>
      <c r="HG74" s="20" t="s">
        <v>14</v>
      </c>
      <c r="HH74" s="20" t="s">
        <v>3</v>
      </c>
      <c r="HI74" s="20" t="s">
        <v>4</v>
      </c>
      <c r="HJ74" s="20" t="s">
        <v>5</v>
      </c>
      <c r="HK74" s="20" t="s">
        <v>15</v>
      </c>
      <c r="HL74" s="22" t="s">
        <v>7</v>
      </c>
      <c r="HM74" s="22" t="s">
        <v>8</v>
      </c>
      <c r="HN74" s="22" t="s">
        <v>9</v>
      </c>
      <c r="HO74" s="22" t="s">
        <v>10</v>
      </c>
      <c r="HP74" s="22" t="s">
        <v>11</v>
      </c>
      <c r="HQ74" s="22" t="s">
        <v>12</v>
      </c>
      <c r="HR74" s="22" t="s">
        <v>13</v>
      </c>
      <c r="HS74" s="22" t="s">
        <v>14</v>
      </c>
      <c r="HT74" s="22" t="s">
        <v>16</v>
      </c>
      <c r="HU74" s="22" t="s">
        <v>4</v>
      </c>
      <c r="HV74" s="22" t="s">
        <v>5</v>
      </c>
      <c r="HW74" s="22" t="s">
        <v>6</v>
      </c>
      <c r="HX74" s="22" t="s">
        <v>17</v>
      </c>
      <c r="HY74" s="22" t="s">
        <v>8</v>
      </c>
      <c r="HZ74" s="22" t="s">
        <v>18</v>
      </c>
      <c r="IA74" s="22" t="s">
        <v>10</v>
      </c>
      <c r="IB74" s="22" t="s">
        <v>11</v>
      </c>
      <c r="IC74" s="22" t="s">
        <v>12</v>
      </c>
      <c r="ID74" s="22" t="s">
        <v>13</v>
      </c>
      <c r="IE74" s="22" t="s">
        <v>26</v>
      </c>
      <c r="IF74" s="22" t="s">
        <v>16</v>
      </c>
      <c r="IG74" s="22" t="s">
        <v>4</v>
      </c>
      <c r="IH74" s="22" t="s">
        <v>5</v>
      </c>
      <c r="II74" s="22" t="s">
        <v>6</v>
      </c>
      <c r="IJ74" s="22" t="s">
        <v>7</v>
      </c>
      <c r="IK74" s="22" t="s">
        <v>8</v>
      </c>
      <c r="IL74" s="22" t="s">
        <v>18</v>
      </c>
      <c r="IM74" s="22" t="s">
        <v>10</v>
      </c>
      <c r="IN74" s="22" t="s">
        <v>11</v>
      </c>
      <c r="IO74" s="22" t="s">
        <v>12</v>
      </c>
      <c r="IP74" s="22" t="s">
        <v>13</v>
      </c>
      <c r="IQ74" s="22" t="s">
        <v>14</v>
      </c>
      <c r="IR74" s="22" t="s">
        <v>3</v>
      </c>
      <c r="IS74" s="22" t="s">
        <v>4</v>
      </c>
      <c r="IT74" s="22" t="s">
        <v>5</v>
      </c>
      <c r="IU74" s="22" t="s">
        <v>15</v>
      </c>
      <c r="IV74" s="22" t="s">
        <v>7</v>
      </c>
      <c r="IW74" s="22" t="s">
        <v>8</v>
      </c>
      <c r="IX74" s="22" t="s">
        <v>18</v>
      </c>
      <c r="IY74" s="22" t="s">
        <v>10</v>
      </c>
      <c r="IZ74" s="22" t="s">
        <v>11</v>
      </c>
      <c r="JA74" s="22" t="s">
        <v>12</v>
      </c>
      <c r="JB74" s="22" t="s">
        <v>20</v>
      </c>
      <c r="JC74" s="22" t="s">
        <v>21</v>
      </c>
      <c r="JD74" s="22" t="s">
        <v>16</v>
      </c>
      <c r="JE74" s="22" t="s">
        <v>4</v>
      </c>
      <c r="JF74" s="22" t="s">
        <v>5</v>
      </c>
      <c r="JG74" s="22" t="s">
        <v>6</v>
      </c>
      <c r="JH74" s="22" t="s">
        <v>7</v>
      </c>
      <c r="JI74" s="22" t="s">
        <v>8</v>
      </c>
      <c r="JJ74" s="22" t="s">
        <v>9</v>
      </c>
      <c r="JK74" s="22" t="s">
        <v>10</v>
      </c>
      <c r="JL74" s="22" t="s">
        <v>11</v>
      </c>
      <c r="JM74" s="22" t="s">
        <v>12</v>
      </c>
      <c r="JN74" s="22" t="s">
        <v>20</v>
      </c>
      <c r="JO74" s="22" t="s">
        <v>21</v>
      </c>
      <c r="JP74" s="22" t="s">
        <v>22</v>
      </c>
      <c r="JQ74" s="22" t="s">
        <v>4</v>
      </c>
      <c r="JR74" s="22" t="s">
        <v>5</v>
      </c>
      <c r="JS74" s="22" t="s">
        <v>6</v>
      </c>
      <c r="JT74" s="22" t="s">
        <v>17</v>
      </c>
      <c r="JU74" s="22" t="s">
        <v>23</v>
      </c>
      <c r="JV74" s="22" t="s">
        <v>18</v>
      </c>
      <c r="JW74" s="22" t="s">
        <v>24</v>
      </c>
      <c r="JX74" s="22" t="s">
        <v>11</v>
      </c>
      <c r="JY74" s="22" t="s">
        <v>12</v>
      </c>
      <c r="JZ74" s="22" t="s">
        <v>13</v>
      </c>
      <c r="KA74" s="22" t="s">
        <v>14</v>
      </c>
      <c r="KB74" s="22" t="s">
        <v>22</v>
      </c>
      <c r="KC74" s="22" t="s">
        <v>4</v>
      </c>
      <c r="KD74" s="22" t="s">
        <v>5</v>
      </c>
      <c r="KE74" s="22" t="s">
        <v>6</v>
      </c>
      <c r="KF74" s="22" t="s">
        <v>17</v>
      </c>
      <c r="KG74" s="22" t="s">
        <v>8</v>
      </c>
      <c r="KH74" s="22" t="s">
        <v>18</v>
      </c>
      <c r="KI74" s="22" t="s">
        <v>10</v>
      </c>
      <c r="KJ74" s="22" t="s">
        <v>11</v>
      </c>
      <c r="KK74" s="22" t="s">
        <v>12</v>
      </c>
      <c r="KL74" s="22" t="s">
        <v>20</v>
      </c>
      <c r="KM74" s="22" t="s">
        <v>21</v>
      </c>
      <c r="KN74" s="22" t="s">
        <v>16</v>
      </c>
      <c r="KO74" s="22" t="s">
        <v>19</v>
      </c>
      <c r="KP74" s="22" t="s">
        <v>5</v>
      </c>
      <c r="KQ74" s="22" t="s">
        <v>6</v>
      </c>
      <c r="KR74" s="22" t="s">
        <v>7</v>
      </c>
      <c r="KS74" s="22" t="s">
        <v>8</v>
      </c>
      <c r="KT74" s="22" t="s">
        <v>18</v>
      </c>
      <c r="KU74" s="22" t="s">
        <v>24</v>
      </c>
      <c r="KV74" s="22" t="s">
        <v>11</v>
      </c>
      <c r="KW74" s="22" t="s">
        <v>12</v>
      </c>
      <c r="KX74" s="22" t="s">
        <v>20</v>
      </c>
      <c r="KY74" s="22" t="s">
        <v>14</v>
      </c>
      <c r="KZ74" s="22" t="s">
        <v>16</v>
      </c>
      <c r="LA74" s="22" t="s">
        <v>4</v>
      </c>
      <c r="LB74" s="22" t="s">
        <v>27</v>
      </c>
      <c r="LC74" s="22" t="s">
        <v>6</v>
      </c>
      <c r="LD74" s="22" t="s">
        <v>7</v>
      </c>
      <c r="LE74" s="22" t="s">
        <v>8</v>
      </c>
      <c r="LF74" s="22" t="s">
        <v>9</v>
      </c>
      <c r="LG74" s="22" t="s">
        <v>24</v>
      </c>
      <c r="LH74" s="22" t="s">
        <v>11</v>
      </c>
      <c r="LI74" s="22" t="s">
        <v>12</v>
      </c>
      <c r="LJ74" s="22" t="s">
        <v>20</v>
      </c>
      <c r="LK74" s="22" t="s">
        <v>14</v>
      </c>
      <c r="LL74" s="22" t="s">
        <v>22</v>
      </c>
      <c r="LM74" s="22" t="s">
        <v>19</v>
      </c>
      <c r="LN74" s="22" t="s">
        <v>5</v>
      </c>
      <c r="LO74" s="22" t="s">
        <v>15</v>
      </c>
      <c r="LP74" s="22" t="s">
        <v>7</v>
      </c>
      <c r="LQ74" s="22" t="s">
        <v>8</v>
      </c>
      <c r="LR74" s="22" t="s">
        <v>18</v>
      </c>
      <c r="LS74" s="22" t="s">
        <v>10</v>
      </c>
      <c r="LT74" s="22" t="s">
        <v>11</v>
      </c>
      <c r="LU74" s="22" t="s">
        <v>12</v>
      </c>
      <c r="LV74" s="22" t="s">
        <v>13</v>
      </c>
      <c r="LW74" s="22" t="s">
        <v>14</v>
      </c>
      <c r="LX74" s="22" t="s">
        <v>22</v>
      </c>
      <c r="LY74" s="22" t="s">
        <v>4</v>
      </c>
      <c r="LZ74" s="22" t="s">
        <v>5</v>
      </c>
      <c r="MA74" s="22" t="s">
        <v>6</v>
      </c>
      <c r="MB74" s="22" t="s">
        <v>17</v>
      </c>
      <c r="MC74" s="22" t="s">
        <v>8</v>
      </c>
      <c r="MD74" s="22" t="s">
        <v>18</v>
      </c>
      <c r="ME74" s="22" t="s">
        <v>24</v>
      </c>
      <c r="MF74" s="22" t="s">
        <v>11</v>
      </c>
      <c r="MG74" s="22" t="s">
        <v>101</v>
      </c>
      <c r="MH74" s="22" t="s">
        <v>20</v>
      </c>
      <c r="MI74" s="22" t="s">
        <v>14</v>
      </c>
      <c r="MJ74" s="22" t="s">
        <v>22</v>
      </c>
      <c r="MK74" s="22" t="s">
        <v>4</v>
      </c>
      <c r="ML74" s="22" t="s">
        <v>5</v>
      </c>
      <c r="MM74" s="22" t="s">
        <v>6</v>
      </c>
      <c r="MN74" s="22" t="s">
        <v>17</v>
      </c>
      <c r="MO74" s="22" t="s">
        <v>8</v>
      </c>
      <c r="MP74" s="22" t="s">
        <v>18</v>
      </c>
      <c r="MQ74" s="22" t="s">
        <v>24</v>
      </c>
      <c r="MR74" s="22" t="s">
        <v>11</v>
      </c>
      <c r="MS74" s="22" t="s">
        <v>12</v>
      </c>
      <c r="MT74" s="22" t="s">
        <v>20</v>
      </c>
      <c r="MU74" s="22" t="s">
        <v>14</v>
      </c>
      <c r="MV74" s="22" t="s">
        <v>22</v>
      </c>
      <c r="MW74" s="22" t="s">
        <v>4</v>
      </c>
      <c r="MX74" s="22" t="s">
        <v>5</v>
      </c>
      <c r="MY74" s="22" t="s">
        <v>6</v>
      </c>
      <c r="MZ74" s="22" t="s">
        <v>7</v>
      </c>
      <c r="NA74" s="22" t="s">
        <v>8</v>
      </c>
      <c r="NB74" s="22" t="s">
        <v>18</v>
      </c>
      <c r="NC74" s="22" t="s">
        <v>24</v>
      </c>
      <c r="ND74" s="22" t="s">
        <v>11</v>
      </c>
      <c r="NE74" s="22" t="s">
        <v>12</v>
      </c>
      <c r="NF74" s="22" t="s">
        <v>20</v>
      </c>
      <c r="NG74" s="22" t="s">
        <v>14</v>
      </c>
      <c r="NH74" s="22" t="s">
        <v>22</v>
      </c>
      <c r="NI74" s="22" t="s">
        <v>19</v>
      </c>
      <c r="NJ74" s="22" t="s">
        <v>27</v>
      </c>
      <c r="NK74" s="22" t="s">
        <v>6</v>
      </c>
      <c r="NL74" s="22" t="s">
        <v>7</v>
      </c>
      <c r="NM74" s="22" t="s">
        <v>8</v>
      </c>
      <c r="NN74" s="22" t="s">
        <v>9</v>
      </c>
      <c r="NO74" s="22" t="s">
        <v>10</v>
      </c>
      <c r="NP74" s="22" t="s">
        <v>11</v>
      </c>
      <c r="NQ74" s="22" t="s">
        <v>12</v>
      </c>
      <c r="NR74" s="22" t="s">
        <v>20</v>
      </c>
      <c r="NS74" s="22" t="s">
        <v>14</v>
      </c>
      <c r="NT74" s="22" t="s">
        <v>16</v>
      </c>
      <c r="NU74" s="22" t="s">
        <v>19</v>
      </c>
      <c r="NV74" s="22" t="s">
        <v>5</v>
      </c>
      <c r="NW74" s="22" t="s">
        <v>6</v>
      </c>
      <c r="NX74" s="22" t="s">
        <v>7</v>
      </c>
      <c r="NY74" s="22" t="s">
        <v>8</v>
      </c>
      <c r="NZ74" s="22" t="s">
        <v>18</v>
      </c>
      <c r="OA74" s="22" t="s">
        <v>24</v>
      </c>
      <c r="OB74" s="22" t="s">
        <v>11</v>
      </c>
      <c r="OC74" s="22" t="s">
        <v>12</v>
      </c>
      <c r="OD74" s="22" t="s">
        <v>13</v>
      </c>
      <c r="OE74" s="22" t="s">
        <v>14</v>
      </c>
      <c r="OF74" s="22" t="s">
        <v>16</v>
      </c>
      <c r="OG74" s="22" t="s">
        <v>4</v>
      </c>
      <c r="OH74" s="22" t="s">
        <v>5</v>
      </c>
      <c r="OI74" s="22" t="s">
        <v>15</v>
      </c>
      <c r="OJ74" s="22" t="s">
        <v>7</v>
      </c>
      <c r="OK74" s="22" t="s">
        <v>8</v>
      </c>
      <c r="OL74" s="22" t="s">
        <v>18</v>
      </c>
    </row>
    <row r="75" spans="1:402" s="145" customFormat="1" ht="19.5" customHeight="1" x14ac:dyDescent="0.35">
      <c r="A75" s="12" t="s">
        <v>29</v>
      </c>
      <c r="B75" s="156">
        <v>252</v>
      </c>
      <c r="C75" s="156">
        <v>274</v>
      </c>
      <c r="D75" s="156">
        <v>291</v>
      </c>
      <c r="E75" s="156">
        <v>292</v>
      </c>
      <c r="F75" s="156">
        <f>'[1]Jan 08'!C29</f>
        <v>353</v>
      </c>
      <c r="G75" s="143">
        <f>'[1]Feb 08'!C29</f>
        <v>363</v>
      </c>
      <c r="H75" s="143">
        <f>'[1]Mar 08'!C29</f>
        <v>373</v>
      </c>
      <c r="I75" s="143">
        <v>379</v>
      </c>
      <c r="J75" s="143">
        <f>'[1]May 08'!C29</f>
        <v>361</v>
      </c>
      <c r="K75" s="143">
        <f>'[1]Jun 08'!C29</f>
        <v>337</v>
      </c>
      <c r="L75" s="143">
        <f>'[1]Jul 08'!C29</f>
        <v>335</v>
      </c>
      <c r="M75" s="143">
        <f>'[1]Aug 08'!C29</f>
        <v>328</v>
      </c>
      <c r="N75" s="143">
        <v>341</v>
      </c>
      <c r="O75" s="143">
        <v>348</v>
      </c>
      <c r="P75" s="143">
        <v>371</v>
      </c>
      <c r="Q75" s="143">
        <v>357</v>
      </c>
      <c r="R75" s="143">
        <v>365</v>
      </c>
      <c r="S75" s="143">
        <v>356</v>
      </c>
      <c r="T75" s="143">
        <v>350</v>
      </c>
      <c r="U75" s="143">
        <v>336</v>
      </c>
      <c r="V75" s="143">
        <v>317</v>
      </c>
      <c r="W75" s="143">
        <v>254</v>
      </c>
      <c r="X75" s="143">
        <v>237</v>
      </c>
      <c r="Y75" s="143">
        <v>222</v>
      </c>
      <c r="Z75" s="143">
        <v>227</v>
      </c>
      <c r="AA75" s="143">
        <v>241</v>
      </c>
      <c r="AB75" s="143">
        <v>247</v>
      </c>
      <c r="AC75" s="143">
        <v>238</v>
      </c>
      <c r="AD75" s="143">
        <v>227</v>
      </c>
      <c r="AE75" s="143">
        <v>220</v>
      </c>
      <c r="AF75" s="143">
        <v>207</v>
      </c>
      <c r="AG75" s="143">
        <v>186</v>
      </c>
      <c r="AH75" s="143">
        <v>174</v>
      </c>
      <c r="AI75" s="143">
        <v>156</v>
      </c>
      <c r="AJ75" s="143">
        <v>147</v>
      </c>
      <c r="AK75" s="143">
        <v>141</v>
      </c>
      <c r="AL75" s="143">
        <v>169</v>
      </c>
      <c r="AM75" s="143">
        <v>163</v>
      </c>
      <c r="AN75" s="143">
        <v>161</v>
      </c>
      <c r="AO75" s="143">
        <v>160</v>
      </c>
      <c r="AP75" s="143">
        <v>163</v>
      </c>
      <c r="AQ75" s="143">
        <v>157</v>
      </c>
      <c r="AR75" s="143">
        <v>150</v>
      </c>
      <c r="AS75" s="143">
        <v>145</v>
      </c>
      <c r="AT75" s="143">
        <v>128</v>
      </c>
      <c r="AU75" s="143">
        <v>106</v>
      </c>
      <c r="AV75" s="143">
        <v>106</v>
      </c>
      <c r="AW75" s="143">
        <v>103</v>
      </c>
      <c r="AX75" s="143">
        <v>111</v>
      </c>
      <c r="AY75" s="143">
        <v>131</v>
      </c>
      <c r="AZ75" s="143">
        <v>141</v>
      </c>
      <c r="BA75" s="143">
        <v>138</v>
      </c>
      <c r="BB75" s="143">
        <v>136</v>
      </c>
      <c r="BC75" s="143">
        <v>139</v>
      </c>
      <c r="BD75" s="143">
        <v>144</v>
      </c>
      <c r="BE75" s="143">
        <v>141</v>
      </c>
      <c r="BF75" s="143">
        <v>134</v>
      </c>
      <c r="BG75" s="143">
        <v>118</v>
      </c>
      <c r="BH75" s="143">
        <v>106</v>
      </c>
      <c r="BI75" s="143">
        <v>86</v>
      </c>
      <c r="BJ75" s="143">
        <v>93</v>
      </c>
      <c r="BK75" s="143">
        <v>101</v>
      </c>
      <c r="BL75" s="143">
        <v>109</v>
      </c>
      <c r="BM75" s="143">
        <v>104</v>
      </c>
      <c r="BN75" s="143">
        <v>108</v>
      </c>
      <c r="BO75" s="143">
        <v>112</v>
      </c>
      <c r="BP75" s="143">
        <v>116</v>
      </c>
      <c r="BQ75" s="143">
        <v>115</v>
      </c>
      <c r="BR75" s="143">
        <v>109</v>
      </c>
      <c r="BS75" s="143">
        <v>89</v>
      </c>
      <c r="BT75" s="143">
        <v>82</v>
      </c>
      <c r="BU75" s="143">
        <v>87</v>
      </c>
      <c r="BV75" s="143">
        <v>111</v>
      </c>
      <c r="BW75" s="143">
        <v>142</v>
      </c>
      <c r="BX75" s="143">
        <v>163</v>
      </c>
      <c r="BY75" s="143">
        <v>162</v>
      </c>
      <c r="BZ75" s="143">
        <v>183</v>
      </c>
      <c r="CA75" s="143">
        <v>177</v>
      </c>
      <c r="CB75" s="143">
        <v>158</v>
      </c>
      <c r="CC75" s="143">
        <v>148</v>
      </c>
      <c r="CD75" s="143">
        <v>141</v>
      </c>
      <c r="CE75" s="143">
        <v>119</v>
      </c>
      <c r="CF75" s="143">
        <v>113</v>
      </c>
      <c r="CG75" s="143">
        <v>111</v>
      </c>
      <c r="CH75" s="143">
        <v>129</v>
      </c>
      <c r="CI75" s="143">
        <v>155</v>
      </c>
      <c r="CJ75" s="143">
        <v>167</v>
      </c>
      <c r="CK75" s="143">
        <v>165</v>
      </c>
      <c r="CL75" s="143">
        <v>183</v>
      </c>
      <c r="CM75" s="143">
        <v>184</v>
      </c>
      <c r="CN75" s="143">
        <v>173</v>
      </c>
      <c r="CO75" s="143">
        <v>181</v>
      </c>
      <c r="CP75" s="143">
        <v>176</v>
      </c>
      <c r="CQ75" s="143">
        <v>151</v>
      </c>
      <c r="CR75" s="143">
        <v>124</v>
      </c>
      <c r="CS75" s="143">
        <v>119</v>
      </c>
      <c r="CT75" s="143">
        <v>144</v>
      </c>
      <c r="CU75" s="143">
        <v>176</v>
      </c>
      <c r="CV75" s="143">
        <v>191</v>
      </c>
      <c r="CW75" s="143">
        <v>199</v>
      </c>
      <c r="CX75" s="143">
        <v>212</v>
      </c>
      <c r="CY75" s="143">
        <v>206</v>
      </c>
      <c r="CZ75" s="143">
        <v>207</v>
      </c>
      <c r="DA75" s="143">
        <v>185</v>
      </c>
      <c r="DB75" s="143">
        <v>168</v>
      </c>
      <c r="DC75" s="143">
        <v>143</v>
      </c>
      <c r="DD75" s="143">
        <v>132</v>
      </c>
      <c r="DE75" s="143">
        <v>136</v>
      </c>
      <c r="DF75" s="143">
        <v>140</v>
      </c>
      <c r="DG75" s="143">
        <v>171</v>
      </c>
      <c r="DH75" s="143">
        <v>175</v>
      </c>
      <c r="DI75" s="143">
        <v>174</v>
      </c>
      <c r="DJ75" s="143">
        <v>187</v>
      </c>
      <c r="DK75" s="143">
        <v>195</v>
      </c>
      <c r="DL75" s="143">
        <v>206</v>
      </c>
      <c r="DM75" s="143">
        <v>204</v>
      </c>
      <c r="DN75" s="143">
        <v>189</v>
      </c>
      <c r="DO75" s="143">
        <v>151</v>
      </c>
      <c r="DP75" s="143">
        <v>137</v>
      </c>
      <c r="DQ75" s="143">
        <v>140</v>
      </c>
      <c r="DR75" s="143">
        <v>136</v>
      </c>
      <c r="DS75" s="143">
        <v>166</v>
      </c>
      <c r="DT75" s="143">
        <v>177</v>
      </c>
      <c r="DU75" s="143">
        <v>177</v>
      </c>
      <c r="DV75" s="143">
        <v>182</v>
      </c>
      <c r="DW75" s="143">
        <v>198</v>
      </c>
      <c r="DX75" s="143">
        <v>207</v>
      </c>
      <c r="DY75" s="143">
        <v>194</v>
      </c>
      <c r="DZ75" s="143">
        <v>170</v>
      </c>
      <c r="EA75" s="143">
        <v>144</v>
      </c>
      <c r="EB75" s="143">
        <v>124</v>
      </c>
      <c r="EC75" s="143">
        <v>114</v>
      </c>
      <c r="ED75" s="143">
        <v>118</v>
      </c>
      <c r="EE75" s="143">
        <v>132</v>
      </c>
      <c r="EF75" s="143">
        <v>136</v>
      </c>
      <c r="EG75" s="143">
        <v>125</v>
      </c>
      <c r="EH75" s="143">
        <v>151</v>
      </c>
      <c r="EI75" s="143">
        <v>162</v>
      </c>
      <c r="EJ75" s="143">
        <v>184</v>
      </c>
      <c r="EK75" s="143">
        <v>184</v>
      </c>
      <c r="EL75" s="143">
        <v>182</v>
      </c>
      <c r="EM75" s="143">
        <v>147</v>
      </c>
      <c r="EN75" s="143">
        <v>128</v>
      </c>
      <c r="EO75" s="143">
        <v>128</v>
      </c>
      <c r="EP75" s="143">
        <v>141</v>
      </c>
      <c r="EQ75" s="143">
        <v>160</v>
      </c>
      <c r="ER75" s="143">
        <v>169</v>
      </c>
      <c r="ES75" s="143">
        <v>163</v>
      </c>
      <c r="ET75" s="143">
        <v>153</v>
      </c>
      <c r="EU75" s="143">
        <v>148</v>
      </c>
      <c r="EV75" s="143">
        <v>153</v>
      </c>
      <c r="EW75" s="143">
        <v>155</v>
      </c>
      <c r="EX75" s="143">
        <v>159</v>
      </c>
      <c r="EY75" s="143">
        <v>144</v>
      </c>
      <c r="EZ75" s="143">
        <v>136</v>
      </c>
      <c r="FA75" s="143">
        <v>135</v>
      </c>
      <c r="FB75" s="143">
        <v>161</v>
      </c>
      <c r="FC75" s="143">
        <v>151</v>
      </c>
      <c r="FD75" s="143">
        <v>136</v>
      </c>
      <c r="FE75" s="143">
        <v>124</v>
      </c>
      <c r="FF75" s="143">
        <v>103</v>
      </c>
      <c r="FG75" s="143">
        <v>99</v>
      </c>
      <c r="FH75" s="143">
        <v>80</v>
      </c>
      <c r="FI75" s="143">
        <v>79</v>
      </c>
      <c r="FJ75" s="143">
        <v>77</v>
      </c>
      <c r="FK75" s="143">
        <v>85</v>
      </c>
      <c r="FL75" s="143">
        <v>81</v>
      </c>
      <c r="FM75" s="143">
        <v>68</v>
      </c>
      <c r="FN75" s="143">
        <v>62</v>
      </c>
      <c r="FO75" s="143">
        <v>66</v>
      </c>
      <c r="FP75" s="143">
        <v>57</v>
      </c>
      <c r="FQ75" s="143">
        <v>40</v>
      </c>
      <c r="FR75" s="143">
        <v>38</v>
      </c>
      <c r="FS75" s="143">
        <v>43</v>
      </c>
      <c r="FT75" s="143">
        <v>49</v>
      </c>
      <c r="FU75" s="143">
        <v>64</v>
      </c>
      <c r="FV75" s="143">
        <v>90</v>
      </c>
      <c r="FW75" s="143">
        <v>113</v>
      </c>
      <c r="FX75" s="143">
        <v>109</v>
      </c>
      <c r="FY75" s="143">
        <v>106</v>
      </c>
      <c r="FZ75" s="143">
        <v>130</v>
      </c>
      <c r="GA75" s="143">
        <v>144</v>
      </c>
      <c r="GB75" s="143">
        <v>129</v>
      </c>
      <c r="GC75" s="143">
        <v>109</v>
      </c>
      <c r="GD75" s="143">
        <v>137</v>
      </c>
      <c r="GE75" s="143">
        <v>157</v>
      </c>
      <c r="GF75" s="143">
        <v>157</v>
      </c>
      <c r="GG75" s="143">
        <v>151</v>
      </c>
      <c r="GH75" s="143">
        <v>143</v>
      </c>
      <c r="GI75" s="143">
        <v>123</v>
      </c>
      <c r="GJ75" s="143">
        <v>122</v>
      </c>
      <c r="GK75" s="143">
        <v>124</v>
      </c>
      <c r="GL75" s="143">
        <v>135</v>
      </c>
      <c r="GM75" s="143">
        <v>158</v>
      </c>
      <c r="GN75" s="143">
        <v>173</v>
      </c>
      <c r="GO75" s="143">
        <v>152</v>
      </c>
      <c r="GP75" s="143">
        <v>200</v>
      </c>
      <c r="GQ75" s="143">
        <v>218</v>
      </c>
      <c r="GR75" s="143">
        <v>204</v>
      </c>
      <c r="GS75" s="143">
        <f>SUM(GG75:GR75)/12</f>
        <v>158.58333333333334</v>
      </c>
      <c r="GT75" s="152"/>
      <c r="GU75" s="12" t="s">
        <v>29</v>
      </c>
      <c r="GV75" s="145" t="s">
        <v>30</v>
      </c>
      <c r="GW75" s="145">
        <f t="shared" ref="GW75:JH75" si="56">(C75-B75)/B75</f>
        <v>8.7301587301587297E-2</v>
      </c>
      <c r="GX75" s="145">
        <f t="shared" si="56"/>
        <v>6.2043795620437957E-2</v>
      </c>
      <c r="GY75" s="145">
        <f t="shared" si="56"/>
        <v>3.4364261168384879E-3</v>
      </c>
      <c r="GZ75" s="145">
        <f t="shared" si="56"/>
        <v>0.2089041095890411</v>
      </c>
      <c r="HA75" s="145">
        <f t="shared" si="56"/>
        <v>2.8328611898016998E-2</v>
      </c>
      <c r="HB75" s="145">
        <f t="shared" si="56"/>
        <v>2.7548209366391185E-2</v>
      </c>
      <c r="HC75" s="145">
        <f t="shared" si="56"/>
        <v>1.6085790884718499E-2</v>
      </c>
      <c r="HD75" s="145">
        <f t="shared" si="56"/>
        <v>-4.7493403693931395E-2</v>
      </c>
      <c r="HE75" s="145">
        <f t="shared" si="56"/>
        <v>-6.6481994459833799E-2</v>
      </c>
      <c r="HF75" s="145">
        <f t="shared" si="56"/>
        <v>-5.9347181008902079E-3</v>
      </c>
      <c r="HG75" s="145">
        <f t="shared" si="56"/>
        <v>-2.0895522388059702E-2</v>
      </c>
      <c r="HH75" s="145">
        <f t="shared" si="56"/>
        <v>3.9634146341463415E-2</v>
      </c>
      <c r="HI75" s="145">
        <f t="shared" si="56"/>
        <v>2.0527859237536656E-2</v>
      </c>
      <c r="HJ75" s="145">
        <f t="shared" si="56"/>
        <v>6.6091954022988508E-2</v>
      </c>
      <c r="HK75" s="145">
        <f t="shared" si="56"/>
        <v>-3.7735849056603772E-2</v>
      </c>
      <c r="HL75" s="145">
        <f t="shared" si="56"/>
        <v>2.2408963585434174E-2</v>
      </c>
      <c r="HM75" s="145">
        <f t="shared" si="56"/>
        <v>-2.4657534246575342E-2</v>
      </c>
      <c r="HN75" s="145">
        <f t="shared" si="56"/>
        <v>-1.6853932584269662E-2</v>
      </c>
      <c r="HO75" s="145">
        <f t="shared" si="56"/>
        <v>-0.04</v>
      </c>
      <c r="HP75" s="145">
        <f t="shared" si="56"/>
        <v>-5.6547619047619048E-2</v>
      </c>
      <c r="HQ75" s="145">
        <f t="shared" si="56"/>
        <v>-0.19873817034700317</v>
      </c>
      <c r="HR75" s="145">
        <f t="shared" si="56"/>
        <v>-6.6929133858267723E-2</v>
      </c>
      <c r="HS75" s="145">
        <f t="shared" si="56"/>
        <v>-6.3291139240506333E-2</v>
      </c>
      <c r="HT75" s="145">
        <f t="shared" si="56"/>
        <v>2.2522522522522521E-2</v>
      </c>
      <c r="HU75" s="145">
        <f t="shared" si="56"/>
        <v>6.1674008810572688E-2</v>
      </c>
      <c r="HV75" s="145">
        <f t="shared" si="56"/>
        <v>2.4896265560165973E-2</v>
      </c>
      <c r="HW75" s="145">
        <f t="shared" si="56"/>
        <v>-3.643724696356275E-2</v>
      </c>
      <c r="HX75" s="145">
        <f t="shared" si="56"/>
        <v>-4.6218487394957986E-2</v>
      </c>
      <c r="HY75" s="145">
        <f t="shared" si="56"/>
        <v>-3.0837004405286344E-2</v>
      </c>
      <c r="HZ75" s="145">
        <f t="shared" si="56"/>
        <v>-5.909090909090909E-2</v>
      </c>
      <c r="IA75" s="145">
        <f t="shared" si="56"/>
        <v>-0.10144927536231885</v>
      </c>
      <c r="IB75" s="145">
        <f t="shared" si="56"/>
        <v>-6.4516129032258063E-2</v>
      </c>
      <c r="IC75" s="145">
        <f t="shared" si="56"/>
        <v>-0.10344827586206896</v>
      </c>
      <c r="ID75" s="145">
        <f t="shared" si="56"/>
        <v>-5.7692307692307696E-2</v>
      </c>
      <c r="IE75" s="145">
        <f t="shared" si="56"/>
        <v>-4.0816326530612242E-2</v>
      </c>
      <c r="IF75" s="145">
        <f t="shared" si="56"/>
        <v>0.19858156028368795</v>
      </c>
      <c r="IG75" s="145">
        <f t="shared" si="56"/>
        <v>-3.5502958579881658E-2</v>
      </c>
      <c r="IH75" s="145">
        <f t="shared" si="56"/>
        <v>-1.2269938650306749E-2</v>
      </c>
      <c r="II75" s="145">
        <f t="shared" si="56"/>
        <v>-6.2111801242236021E-3</v>
      </c>
      <c r="IJ75" s="145">
        <f t="shared" si="56"/>
        <v>1.8749999999999999E-2</v>
      </c>
      <c r="IK75" s="145">
        <f t="shared" si="56"/>
        <v>-3.6809815950920248E-2</v>
      </c>
      <c r="IL75" s="145">
        <f t="shared" si="56"/>
        <v>-4.4585987261146494E-2</v>
      </c>
      <c r="IM75" s="145">
        <f t="shared" si="56"/>
        <v>-3.3333333333333333E-2</v>
      </c>
      <c r="IN75" s="145">
        <f t="shared" si="56"/>
        <v>-0.11724137931034483</v>
      </c>
      <c r="IO75" s="145">
        <f t="shared" si="56"/>
        <v>-0.171875</v>
      </c>
      <c r="IP75" s="145">
        <f t="shared" si="56"/>
        <v>0</v>
      </c>
      <c r="IQ75" s="145">
        <f t="shared" si="56"/>
        <v>-2.8301886792452831E-2</v>
      </c>
      <c r="IR75" s="145">
        <f t="shared" si="56"/>
        <v>7.7669902912621352E-2</v>
      </c>
      <c r="IS75" s="145">
        <f t="shared" si="56"/>
        <v>0.18018018018018017</v>
      </c>
      <c r="IT75" s="145">
        <f t="shared" si="56"/>
        <v>7.6335877862595422E-2</v>
      </c>
      <c r="IU75" s="145">
        <f t="shared" si="56"/>
        <v>-2.1276595744680851E-2</v>
      </c>
      <c r="IV75" s="145">
        <f t="shared" si="56"/>
        <v>-1.4492753623188406E-2</v>
      </c>
      <c r="IW75" s="145">
        <f t="shared" si="56"/>
        <v>2.2058823529411766E-2</v>
      </c>
      <c r="IX75" s="145">
        <f t="shared" si="56"/>
        <v>3.5971223021582732E-2</v>
      </c>
      <c r="IY75" s="145">
        <f t="shared" si="56"/>
        <v>-2.0833333333333332E-2</v>
      </c>
      <c r="IZ75" s="145">
        <f t="shared" si="56"/>
        <v>-4.9645390070921988E-2</v>
      </c>
      <c r="JA75" s="145">
        <f t="shared" si="56"/>
        <v>-0.11940298507462686</v>
      </c>
      <c r="JB75" s="145">
        <f t="shared" si="56"/>
        <v>-0.10169491525423729</v>
      </c>
      <c r="JC75" s="145">
        <f t="shared" si="56"/>
        <v>-0.18867924528301888</v>
      </c>
      <c r="JD75" s="145">
        <f t="shared" si="56"/>
        <v>8.1395348837209308E-2</v>
      </c>
      <c r="JE75" s="145">
        <f t="shared" si="56"/>
        <v>8.6021505376344093E-2</v>
      </c>
      <c r="JF75" s="145">
        <f t="shared" si="56"/>
        <v>7.9207920792079209E-2</v>
      </c>
      <c r="JG75" s="145">
        <f t="shared" si="56"/>
        <v>-4.5871559633027525E-2</v>
      </c>
      <c r="JH75" s="145">
        <f t="shared" si="56"/>
        <v>3.8461538461538464E-2</v>
      </c>
      <c r="JI75" s="145">
        <f t="shared" ref="JI75:LT79" si="57">(BO75-BN75)/BN75</f>
        <v>3.7037037037037035E-2</v>
      </c>
      <c r="JJ75" s="145">
        <f t="shared" si="57"/>
        <v>3.5714285714285712E-2</v>
      </c>
      <c r="JK75" s="145">
        <f t="shared" si="57"/>
        <v>-8.6206896551724137E-3</v>
      </c>
      <c r="JL75" s="145">
        <f t="shared" si="57"/>
        <v>-5.2173913043478258E-2</v>
      </c>
      <c r="JM75" s="145">
        <f t="shared" si="57"/>
        <v>-0.1834862385321101</v>
      </c>
      <c r="JN75" s="145">
        <f t="shared" si="57"/>
        <v>-7.8651685393258425E-2</v>
      </c>
      <c r="JO75" s="145">
        <f t="shared" si="57"/>
        <v>6.097560975609756E-2</v>
      </c>
      <c r="JP75" s="145">
        <f t="shared" si="57"/>
        <v>0.27586206896551724</v>
      </c>
      <c r="JQ75" s="145">
        <f t="shared" si="57"/>
        <v>0.27927927927927926</v>
      </c>
      <c r="JR75" s="145">
        <f t="shared" si="57"/>
        <v>0.14788732394366197</v>
      </c>
      <c r="JS75" s="145">
        <f t="shared" si="57"/>
        <v>-6.1349693251533744E-3</v>
      </c>
      <c r="JT75" s="145">
        <f t="shared" si="57"/>
        <v>0.12962962962962962</v>
      </c>
      <c r="JU75" s="145">
        <f t="shared" si="57"/>
        <v>-3.2786885245901641E-2</v>
      </c>
      <c r="JV75" s="145">
        <f t="shared" si="57"/>
        <v>-0.10734463276836158</v>
      </c>
      <c r="JW75" s="145">
        <f t="shared" si="57"/>
        <v>-6.3291139240506333E-2</v>
      </c>
      <c r="JX75" s="145">
        <f t="shared" si="57"/>
        <v>-4.72972972972973E-2</v>
      </c>
      <c r="JY75" s="145">
        <f t="shared" si="57"/>
        <v>-0.15602836879432624</v>
      </c>
      <c r="JZ75" s="145">
        <f t="shared" si="57"/>
        <v>-5.0420168067226892E-2</v>
      </c>
      <c r="KA75" s="145">
        <f t="shared" si="57"/>
        <v>-1.7699115044247787E-2</v>
      </c>
      <c r="KB75" s="145">
        <f t="shared" si="57"/>
        <v>0.16216216216216217</v>
      </c>
      <c r="KC75" s="145">
        <f t="shared" si="57"/>
        <v>0.20155038759689922</v>
      </c>
      <c r="KD75" s="145">
        <f t="shared" si="57"/>
        <v>7.7419354838709681E-2</v>
      </c>
      <c r="KE75" s="145">
        <f t="shared" si="57"/>
        <v>-1.1976047904191617E-2</v>
      </c>
      <c r="KF75" s="145">
        <f t="shared" si="57"/>
        <v>0.10909090909090909</v>
      </c>
      <c r="KG75" s="145">
        <f t="shared" si="57"/>
        <v>5.4644808743169399E-3</v>
      </c>
      <c r="KH75" s="145">
        <f t="shared" si="57"/>
        <v>-5.9782608695652176E-2</v>
      </c>
      <c r="KI75" s="145">
        <f t="shared" si="57"/>
        <v>4.6242774566473986E-2</v>
      </c>
      <c r="KJ75" s="145">
        <f t="shared" si="57"/>
        <v>-2.7624309392265192E-2</v>
      </c>
      <c r="KK75" s="145">
        <f t="shared" si="57"/>
        <v>-0.14204545454545456</v>
      </c>
      <c r="KL75" s="145">
        <f t="shared" si="57"/>
        <v>-0.17880794701986755</v>
      </c>
      <c r="KM75" s="145">
        <f t="shared" si="57"/>
        <v>-4.0322580645161289E-2</v>
      </c>
      <c r="KN75" s="145">
        <f t="shared" si="57"/>
        <v>0.21008403361344538</v>
      </c>
      <c r="KO75" s="145">
        <f t="shared" si="57"/>
        <v>0.22222222222222221</v>
      </c>
      <c r="KP75" s="145">
        <f t="shared" si="57"/>
        <v>8.5227272727272721E-2</v>
      </c>
      <c r="KQ75" s="145">
        <f t="shared" si="57"/>
        <v>4.1884816753926704E-2</v>
      </c>
      <c r="KR75" s="145">
        <f t="shared" si="57"/>
        <v>6.5326633165829151E-2</v>
      </c>
      <c r="KS75" s="145">
        <f t="shared" si="57"/>
        <v>-2.8301886792452831E-2</v>
      </c>
      <c r="KT75" s="145">
        <f t="shared" si="57"/>
        <v>4.8543689320388345E-3</v>
      </c>
      <c r="KU75" s="145">
        <f t="shared" si="57"/>
        <v>-0.10628019323671498</v>
      </c>
      <c r="KV75" s="145">
        <f t="shared" si="57"/>
        <v>-9.1891891891891897E-2</v>
      </c>
      <c r="KW75" s="145">
        <f t="shared" si="57"/>
        <v>-0.14880952380952381</v>
      </c>
      <c r="KX75" s="145">
        <f t="shared" si="57"/>
        <v>-7.6923076923076927E-2</v>
      </c>
      <c r="KY75" s="145">
        <f t="shared" si="57"/>
        <v>3.0303030303030304E-2</v>
      </c>
      <c r="KZ75" s="145">
        <f t="shared" si="57"/>
        <v>2.9411764705882353E-2</v>
      </c>
      <c r="LA75" s="145">
        <f t="shared" si="57"/>
        <v>0.22142857142857142</v>
      </c>
      <c r="LB75" s="145">
        <f t="shared" si="57"/>
        <v>2.3391812865497075E-2</v>
      </c>
      <c r="LC75" s="145">
        <f t="shared" si="57"/>
        <v>-5.7142857142857143E-3</v>
      </c>
      <c r="LD75" s="145">
        <f t="shared" si="57"/>
        <v>7.4712643678160925E-2</v>
      </c>
      <c r="LE75" s="145">
        <f t="shared" si="57"/>
        <v>4.2780748663101602E-2</v>
      </c>
      <c r="LF75" s="145">
        <f t="shared" si="57"/>
        <v>5.6410256410256411E-2</v>
      </c>
      <c r="LG75" s="145">
        <f t="shared" si="57"/>
        <v>-9.7087378640776691E-3</v>
      </c>
      <c r="LH75" s="145">
        <f t="shared" si="57"/>
        <v>-7.3529411764705885E-2</v>
      </c>
      <c r="LI75" s="145">
        <f t="shared" si="57"/>
        <v>-0.20105820105820105</v>
      </c>
      <c r="LJ75" s="145">
        <f t="shared" si="57"/>
        <v>-9.2715231788079472E-2</v>
      </c>
      <c r="LK75" s="145">
        <f t="shared" si="57"/>
        <v>2.1897810218978103E-2</v>
      </c>
      <c r="LL75" s="145">
        <f t="shared" si="57"/>
        <v>-2.8571428571428571E-2</v>
      </c>
      <c r="LM75" s="145">
        <f t="shared" si="57"/>
        <v>0.22058823529411764</v>
      </c>
      <c r="LN75" s="145">
        <f t="shared" si="57"/>
        <v>6.6265060240963861E-2</v>
      </c>
      <c r="LO75" s="145">
        <f t="shared" si="57"/>
        <v>0</v>
      </c>
      <c r="LP75" s="145">
        <f t="shared" si="57"/>
        <v>2.8248587570621469E-2</v>
      </c>
      <c r="LQ75" s="145">
        <f t="shared" si="57"/>
        <v>8.7912087912087919E-2</v>
      </c>
      <c r="LR75" s="145">
        <f t="shared" si="57"/>
        <v>4.5454545454545456E-2</v>
      </c>
      <c r="LS75" s="145">
        <f t="shared" si="57"/>
        <v>-6.280193236714976E-2</v>
      </c>
      <c r="LT75" s="145">
        <f t="shared" si="57"/>
        <v>-0.12371134020618557</v>
      </c>
      <c r="LU75" s="145">
        <f t="shared" ref="LU75:MR79" si="58">(EA75-DZ75)/DZ75</f>
        <v>-0.15294117647058825</v>
      </c>
      <c r="LV75" s="145">
        <f t="shared" si="58"/>
        <v>-0.1388888888888889</v>
      </c>
      <c r="LW75" s="145">
        <f t="shared" si="58"/>
        <v>-8.0645161290322578E-2</v>
      </c>
      <c r="LX75" s="145">
        <f t="shared" si="58"/>
        <v>3.5087719298245612E-2</v>
      </c>
      <c r="LY75" s="145">
        <f t="shared" si="58"/>
        <v>0.11864406779661017</v>
      </c>
      <c r="LZ75" s="145">
        <f t="shared" si="58"/>
        <v>3.0303030303030304E-2</v>
      </c>
      <c r="MA75" s="145">
        <f t="shared" si="58"/>
        <v>-8.0882352941176475E-2</v>
      </c>
      <c r="MB75" s="145">
        <f t="shared" si="58"/>
        <v>0.20799999999999999</v>
      </c>
      <c r="MC75" s="145">
        <f t="shared" si="58"/>
        <v>7.2847682119205295E-2</v>
      </c>
      <c r="MD75" s="145">
        <f t="shared" si="58"/>
        <v>0.13580246913580246</v>
      </c>
      <c r="ME75" s="145">
        <f t="shared" si="58"/>
        <v>0</v>
      </c>
      <c r="MF75" s="145">
        <f t="shared" si="58"/>
        <v>-1.0869565217391304E-2</v>
      </c>
      <c r="MG75" s="145">
        <f t="shared" si="58"/>
        <v>-0.19230769230769232</v>
      </c>
      <c r="MH75" s="145">
        <f t="shared" si="58"/>
        <v>-0.12925170068027211</v>
      </c>
      <c r="MI75" s="145">
        <f t="shared" si="58"/>
        <v>0</v>
      </c>
      <c r="MJ75" s="145">
        <f t="shared" si="58"/>
        <v>0.1015625</v>
      </c>
      <c r="MK75" s="145">
        <f t="shared" si="58"/>
        <v>0.13475177304964539</v>
      </c>
      <c r="ML75" s="145">
        <f t="shared" si="58"/>
        <v>5.6250000000000001E-2</v>
      </c>
      <c r="MM75" s="145">
        <f t="shared" si="58"/>
        <v>-3.5502958579881658E-2</v>
      </c>
      <c r="MN75" s="145">
        <f t="shared" si="58"/>
        <v>-6.1349693251533742E-2</v>
      </c>
      <c r="MO75" s="145">
        <f t="shared" si="58"/>
        <v>-3.2679738562091505E-2</v>
      </c>
      <c r="MP75" s="145">
        <f t="shared" si="58"/>
        <v>3.3783783783783786E-2</v>
      </c>
      <c r="MQ75" s="145">
        <f t="shared" si="58"/>
        <v>1.3071895424836602E-2</v>
      </c>
      <c r="MR75" s="145">
        <f t="shared" si="58"/>
        <v>2.5806451612903226E-2</v>
      </c>
      <c r="MS75" s="145">
        <f>(EZ75-EY75)/EY75</f>
        <v>-5.5555555555555552E-2</v>
      </c>
      <c r="MT75" s="145">
        <f t="shared" ref="MT75:NI79" si="59">(EZ75-EY75)/EZ75</f>
        <v>-5.8823529411764705E-2</v>
      </c>
      <c r="MU75" s="145">
        <f t="shared" si="59"/>
        <v>-7.4074074074074077E-3</v>
      </c>
      <c r="MV75" s="145">
        <f t="shared" si="59"/>
        <v>0.16149068322981366</v>
      </c>
      <c r="MW75" s="145">
        <f t="shared" si="59"/>
        <v>-6.6225165562913912E-2</v>
      </c>
      <c r="MX75" s="145">
        <f t="shared" si="59"/>
        <v>-0.11029411764705882</v>
      </c>
      <c r="MY75" s="145">
        <f t="shared" si="59"/>
        <v>-9.6774193548387094E-2</v>
      </c>
      <c r="MZ75" s="145">
        <f t="shared" si="59"/>
        <v>-0.20388349514563106</v>
      </c>
      <c r="NA75" s="145">
        <f t="shared" si="59"/>
        <v>-4.0404040404040407E-2</v>
      </c>
      <c r="NB75" s="145">
        <f t="shared" si="59"/>
        <v>-0.23749999999999999</v>
      </c>
      <c r="NC75" s="145">
        <f t="shared" si="59"/>
        <v>-1.2658227848101266E-2</v>
      </c>
      <c r="ND75" s="145">
        <f t="shared" si="59"/>
        <v>-2.5974025974025976E-2</v>
      </c>
      <c r="NE75" s="145">
        <f t="shared" si="59"/>
        <v>9.4117647058823528E-2</v>
      </c>
      <c r="NF75" s="145">
        <f t="shared" si="59"/>
        <v>-4.9382716049382713E-2</v>
      </c>
      <c r="NG75" s="145">
        <f t="shared" si="59"/>
        <v>-0.19117647058823528</v>
      </c>
      <c r="NH75" s="145">
        <f t="shared" si="59"/>
        <v>-9.6774193548387094E-2</v>
      </c>
      <c r="NI75" s="145">
        <f t="shared" si="59"/>
        <v>6.0606060606060608E-2</v>
      </c>
      <c r="NJ75" s="145">
        <f t="shared" ref="NJ75:NY79" si="60">(FP75-FO75)/FP75</f>
        <v>-0.15789473684210525</v>
      </c>
      <c r="NK75" s="145">
        <f t="shared" si="60"/>
        <v>-0.42499999999999999</v>
      </c>
      <c r="NL75" s="145">
        <f t="shared" si="60"/>
        <v>-5.2631578947368418E-2</v>
      </c>
      <c r="NM75" s="145">
        <f t="shared" si="60"/>
        <v>0.11627906976744186</v>
      </c>
      <c r="NN75" s="145">
        <f t="shared" si="60"/>
        <v>0.12244897959183673</v>
      </c>
      <c r="NO75" s="145">
        <f t="shared" si="60"/>
        <v>0.234375</v>
      </c>
      <c r="NP75" s="145">
        <f t="shared" si="60"/>
        <v>0.28888888888888886</v>
      </c>
      <c r="NQ75" s="145">
        <f t="shared" si="60"/>
        <v>0.20353982300884957</v>
      </c>
      <c r="NR75" s="145">
        <f t="shared" si="60"/>
        <v>-3.669724770642202E-2</v>
      </c>
      <c r="NS75" s="145">
        <f t="shared" si="60"/>
        <v>-2.8301886792452831E-2</v>
      </c>
      <c r="NT75" s="145">
        <f t="shared" si="60"/>
        <v>0.18461538461538463</v>
      </c>
      <c r="NU75" s="145">
        <f t="shared" si="60"/>
        <v>9.7222222222222224E-2</v>
      </c>
      <c r="NV75" s="145">
        <f t="shared" si="60"/>
        <v>-0.11627906976744186</v>
      </c>
      <c r="NW75" s="145">
        <f t="shared" si="60"/>
        <v>-0.1834862385321101</v>
      </c>
      <c r="NX75" s="145">
        <f t="shared" si="60"/>
        <v>0.20437956204379562</v>
      </c>
      <c r="NY75" s="145">
        <f t="shared" si="60"/>
        <v>0.12738853503184713</v>
      </c>
      <c r="NZ75" s="145">
        <f t="shared" ref="NX75:OL79" si="61">(GF75-GE75)/GF75</f>
        <v>0</v>
      </c>
      <c r="OA75" s="145">
        <f t="shared" si="61"/>
        <v>-3.9735099337748346E-2</v>
      </c>
      <c r="OB75" s="145">
        <f t="shared" si="61"/>
        <v>-5.5944055944055944E-2</v>
      </c>
      <c r="OC75" s="145">
        <f t="shared" si="61"/>
        <v>-0.16260162601626016</v>
      </c>
      <c r="OD75" s="145">
        <f t="shared" si="61"/>
        <v>-8.1967213114754103E-3</v>
      </c>
      <c r="OE75" s="145">
        <f t="shared" si="61"/>
        <v>1.6129032258064516E-2</v>
      </c>
      <c r="OF75" s="145">
        <f t="shared" si="61"/>
        <v>8.1481481481481488E-2</v>
      </c>
      <c r="OG75" s="145">
        <f t="shared" si="61"/>
        <v>0.14556962025316456</v>
      </c>
      <c r="OH75" s="145">
        <f t="shared" si="61"/>
        <v>8.6705202312138727E-2</v>
      </c>
      <c r="OI75" s="145">
        <f t="shared" si="61"/>
        <v>-0.13815789473684212</v>
      </c>
      <c r="OJ75" s="145">
        <f t="shared" si="61"/>
        <v>0.24</v>
      </c>
      <c r="OK75" s="145">
        <f t="shared" si="61"/>
        <v>8.2568807339449546E-2</v>
      </c>
      <c r="OL75" s="145">
        <f t="shared" si="61"/>
        <v>-6.8627450980392163E-2</v>
      </c>
    </row>
    <row r="76" spans="1:402" s="145" customFormat="1" ht="19.5" customHeight="1" x14ac:dyDescent="0.35">
      <c r="A76" s="12" t="s">
        <v>31</v>
      </c>
      <c r="B76" s="156"/>
      <c r="C76" s="156"/>
      <c r="D76" s="156"/>
      <c r="E76" s="156"/>
      <c r="F76" s="156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  <c r="DC76" s="143"/>
      <c r="DD76" s="143"/>
      <c r="DE76" s="143"/>
      <c r="DF76" s="143"/>
      <c r="DG76" s="143"/>
      <c r="DH76" s="143"/>
      <c r="DI76" s="143"/>
      <c r="DJ76" s="143">
        <v>11</v>
      </c>
      <c r="DK76" s="143">
        <v>5</v>
      </c>
      <c r="DL76" s="143">
        <v>2</v>
      </c>
      <c r="DM76" s="143">
        <v>5</v>
      </c>
      <c r="DN76" s="143">
        <v>8</v>
      </c>
      <c r="DO76" s="143">
        <v>8</v>
      </c>
      <c r="DP76" s="143">
        <v>8</v>
      </c>
      <c r="DQ76" s="143">
        <v>2</v>
      </c>
      <c r="DR76" s="143">
        <v>7</v>
      </c>
      <c r="DS76" s="143">
        <v>4</v>
      </c>
      <c r="DT76" s="143">
        <v>5</v>
      </c>
      <c r="DU76" s="143">
        <v>5</v>
      </c>
      <c r="DV76" s="143">
        <v>9</v>
      </c>
      <c r="DW76" s="143">
        <v>5</v>
      </c>
      <c r="DX76" s="143">
        <v>8</v>
      </c>
      <c r="DY76" s="143">
        <v>9</v>
      </c>
      <c r="DZ76" s="143">
        <v>9</v>
      </c>
      <c r="EA76" s="143">
        <v>8</v>
      </c>
      <c r="EB76" s="143">
        <v>11</v>
      </c>
      <c r="EC76" s="143">
        <v>6</v>
      </c>
      <c r="ED76" s="143">
        <v>7</v>
      </c>
      <c r="EE76" s="143">
        <v>9</v>
      </c>
      <c r="EF76" s="143">
        <v>6</v>
      </c>
      <c r="EG76" s="143">
        <v>7</v>
      </c>
      <c r="EH76" s="143">
        <v>10</v>
      </c>
      <c r="EI76" s="143">
        <v>13</v>
      </c>
      <c r="EJ76" s="143">
        <v>13</v>
      </c>
      <c r="EK76" s="143">
        <v>13</v>
      </c>
      <c r="EL76" s="143">
        <v>9</v>
      </c>
      <c r="EM76" s="143">
        <v>7</v>
      </c>
      <c r="EN76" s="143">
        <v>9</v>
      </c>
      <c r="EO76" s="143">
        <v>7</v>
      </c>
      <c r="EP76" s="143">
        <v>6</v>
      </c>
      <c r="EQ76" s="143">
        <v>11</v>
      </c>
      <c r="ER76" s="143">
        <v>8</v>
      </c>
      <c r="ES76" s="143">
        <v>7</v>
      </c>
      <c r="ET76" s="143">
        <v>8</v>
      </c>
      <c r="EU76" s="143">
        <v>11</v>
      </c>
      <c r="EV76" s="143">
        <v>9</v>
      </c>
      <c r="EW76" s="143">
        <v>8</v>
      </c>
      <c r="EX76" s="143">
        <v>9</v>
      </c>
      <c r="EY76" s="143">
        <v>17</v>
      </c>
      <c r="EZ76" s="143">
        <v>17</v>
      </c>
      <c r="FA76" s="143">
        <v>11</v>
      </c>
      <c r="FB76" s="143">
        <v>24</v>
      </c>
      <c r="FC76" s="143">
        <v>29</v>
      </c>
      <c r="FD76" s="143">
        <v>34</v>
      </c>
      <c r="FE76" s="143">
        <v>13</v>
      </c>
      <c r="FF76" s="143">
        <v>31</v>
      </c>
      <c r="FG76" s="143">
        <v>34</v>
      </c>
      <c r="FH76" s="143">
        <v>39</v>
      </c>
      <c r="FI76" s="143">
        <v>27</v>
      </c>
      <c r="FJ76" s="143">
        <v>28</v>
      </c>
      <c r="FK76" s="143">
        <v>23</v>
      </c>
      <c r="FL76" s="143">
        <v>25</v>
      </c>
      <c r="FM76" s="143">
        <v>26</v>
      </c>
      <c r="FN76" s="143">
        <v>24</v>
      </c>
      <c r="FO76" s="143">
        <v>26</v>
      </c>
      <c r="FP76" s="143">
        <v>28</v>
      </c>
      <c r="FQ76" s="143">
        <v>27</v>
      </c>
      <c r="FR76" s="143">
        <v>16</v>
      </c>
      <c r="FS76" s="143">
        <v>29</v>
      </c>
      <c r="FT76" s="143">
        <v>22</v>
      </c>
      <c r="FU76" s="143">
        <v>31</v>
      </c>
      <c r="FV76" s="143">
        <v>17</v>
      </c>
      <c r="FW76" s="143">
        <v>23</v>
      </c>
      <c r="FX76" s="143">
        <v>18</v>
      </c>
      <c r="FY76" s="143">
        <v>13</v>
      </c>
      <c r="FZ76" s="143">
        <v>12</v>
      </c>
      <c r="GA76" s="143">
        <v>14</v>
      </c>
      <c r="GB76" s="143">
        <v>15</v>
      </c>
      <c r="GC76" s="143">
        <v>14</v>
      </c>
      <c r="GD76" s="143">
        <v>20</v>
      </c>
      <c r="GE76" s="143">
        <v>20</v>
      </c>
      <c r="GF76" s="143">
        <v>28</v>
      </c>
      <c r="GG76" s="143">
        <v>29</v>
      </c>
      <c r="GH76" s="143">
        <v>24</v>
      </c>
      <c r="GI76" s="143">
        <v>21</v>
      </c>
      <c r="GJ76" s="143">
        <v>15</v>
      </c>
      <c r="GK76" s="143">
        <v>19</v>
      </c>
      <c r="GL76" s="143">
        <v>19</v>
      </c>
      <c r="GM76" s="143">
        <v>17</v>
      </c>
      <c r="GN76" s="143">
        <v>9</v>
      </c>
      <c r="GO76" s="143">
        <v>12</v>
      </c>
      <c r="GP76" s="143">
        <v>21</v>
      </c>
      <c r="GQ76" s="143">
        <v>31</v>
      </c>
      <c r="GR76" s="143">
        <v>38</v>
      </c>
      <c r="GS76" s="143">
        <f t="shared" ref="GS76:GS79" si="62">SUM(GG76:GR76)/12</f>
        <v>21.25</v>
      </c>
      <c r="GT76" s="152"/>
      <c r="GU76" s="12" t="s">
        <v>31</v>
      </c>
      <c r="LE76" s="145">
        <f t="shared" si="57"/>
        <v>-0.54545454545454541</v>
      </c>
      <c r="LF76" s="145">
        <f t="shared" si="57"/>
        <v>-0.6</v>
      </c>
      <c r="LG76" s="145">
        <f t="shared" si="57"/>
        <v>1.5</v>
      </c>
      <c r="LH76" s="145">
        <f t="shared" si="57"/>
        <v>0.6</v>
      </c>
      <c r="LI76" s="145">
        <f t="shared" si="57"/>
        <v>0</v>
      </c>
      <c r="LJ76" s="145">
        <f t="shared" si="57"/>
        <v>0</v>
      </c>
      <c r="LK76" s="145">
        <f t="shared" si="57"/>
        <v>-0.75</v>
      </c>
      <c r="LL76" s="145">
        <f t="shared" si="57"/>
        <v>2.5</v>
      </c>
      <c r="LM76" s="145">
        <f t="shared" si="57"/>
        <v>-0.42857142857142855</v>
      </c>
      <c r="LN76" s="145">
        <f t="shared" si="57"/>
        <v>0.25</v>
      </c>
      <c r="LO76" s="145">
        <f t="shared" si="57"/>
        <v>0</v>
      </c>
      <c r="LP76" s="145">
        <f t="shared" si="57"/>
        <v>0.8</v>
      </c>
      <c r="LQ76" s="145">
        <f t="shared" si="57"/>
        <v>-0.44444444444444442</v>
      </c>
      <c r="LR76" s="145">
        <f t="shared" si="57"/>
        <v>0.6</v>
      </c>
      <c r="LS76" s="145">
        <f t="shared" si="57"/>
        <v>0.125</v>
      </c>
      <c r="LT76" s="145">
        <f t="shared" si="57"/>
        <v>0</v>
      </c>
      <c r="LU76" s="145">
        <f t="shared" si="58"/>
        <v>-0.1111111111111111</v>
      </c>
      <c r="LV76" s="145">
        <f t="shared" si="58"/>
        <v>0.375</v>
      </c>
      <c r="LW76" s="145">
        <f t="shared" si="58"/>
        <v>-0.45454545454545453</v>
      </c>
      <c r="LX76" s="145">
        <f t="shared" si="58"/>
        <v>0.16666666666666666</v>
      </c>
      <c r="LY76" s="145">
        <f t="shared" si="58"/>
        <v>0.2857142857142857</v>
      </c>
      <c r="LZ76" s="145">
        <f t="shared" si="58"/>
        <v>-0.33333333333333331</v>
      </c>
      <c r="MA76" s="145">
        <f t="shared" si="58"/>
        <v>0.16666666666666666</v>
      </c>
      <c r="MB76" s="145">
        <f t="shared" si="58"/>
        <v>0.42857142857142855</v>
      </c>
      <c r="MC76" s="145">
        <f t="shared" si="58"/>
        <v>0.3</v>
      </c>
      <c r="MD76" s="145">
        <f t="shared" si="58"/>
        <v>0</v>
      </c>
      <c r="ME76" s="145">
        <f t="shared" si="58"/>
        <v>0</v>
      </c>
      <c r="MF76" s="145">
        <f t="shared" si="58"/>
        <v>-0.30769230769230771</v>
      </c>
      <c r="MG76" s="145">
        <f t="shared" si="58"/>
        <v>-0.22222222222222221</v>
      </c>
      <c r="MH76" s="145">
        <f t="shared" si="58"/>
        <v>0.2857142857142857</v>
      </c>
      <c r="MI76" s="145">
        <f t="shared" si="58"/>
        <v>-0.22222222222222221</v>
      </c>
      <c r="MJ76" s="145">
        <f t="shared" si="58"/>
        <v>-0.14285714285714285</v>
      </c>
      <c r="MK76" s="145">
        <f t="shared" si="58"/>
        <v>0.83333333333333337</v>
      </c>
      <c r="ML76" s="145">
        <f t="shared" si="58"/>
        <v>-0.27272727272727271</v>
      </c>
      <c r="MM76" s="145">
        <f t="shared" si="58"/>
        <v>-0.125</v>
      </c>
      <c r="MN76" s="145">
        <f t="shared" si="58"/>
        <v>0.14285714285714285</v>
      </c>
      <c r="MO76" s="145">
        <f t="shared" si="58"/>
        <v>0.375</v>
      </c>
      <c r="MP76" s="145">
        <f t="shared" si="58"/>
        <v>-0.18181818181818182</v>
      </c>
      <c r="MQ76" s="145">
        <f t="shared" si="58"/>
        <v>-0.1111111111111111</v>
      </c>
      <c r="MR76" s="145">
        <f t="shared" si="58"/>
        <v>0.125</v>
      </c>
      <c r="MS76" s="145">
        <f>(EZ76-EY76)/EY76</f>
        <v>0</v>
      </c>
      <c r="MT76" s="145">
        <f t="shared" si="59"/>
        <v>0</v>
      </c>
      <c r="MU76" s="145">
        <f t="shared" si="59"/>
        <v>-0.54545454545454541</v>
      </c>
      <c r="MV76" s="145">
        <f t="shared" si="59"/>
        <v>0.54166666666666663</v>
      </c>
      <c r="MW76" s="145">
        <f t="shared" si="59"/>
        <v>0.17241379310344829</v>
      </c>
      <c r="MX76" s="145">
        <f t="shared" si="59"/>
        <v>0.14705882352941177</v>
      </c>
      <c r="MY76" s="145">
        <f t="shared" si="59"/>
        <v>-1.6153846153846154</v>
      </c>
      <c r="MZ76" s="145">
        <f t="shared" si="59"/>
        <v>0.58064516129032262</v>
      </c>
      <c r="NA76" s="145">
        <f t="shared" si="59"/>
        <v>8.8235294117647065E-2</v>
      </c>
      <c r="NB76" s="145">
        <f t="shared" si="59"/>
        <v>0.12820512820512819</v>
      </c>
      <c r="NC76" s="145">
        <f t="shared" si="59"/>
        <v>-0.44444444444444442</v>
      </c>
      <c r="ND76" s="145">
        <f t="shared" si="59"/>
        <v>3.5714285714285712E-2</v>
      </c>
      <c r="NE76" s="145">
        <f t="shared" si="59"/>
        <v>-0.21739130434782608</v>
      </c>
      <c r="NF76" s="145">
        <f t="shared" si="59"/>
        <v>0.08</v>
      </c>
      <c r="NG76" s="145">
        <f t="shared" si="59"/>
        <v>3.8461538461538464E-2</v>
      </c>
      <c r="NH76" s="145">
        <f t="shared" si="59"/>
        <v>-8.3333333333333329E-2</v>
      </c>
      <c r="NI76" s="145">
        <f t="shared" si="59"/>
        <v>7.6923076923076927E-2</v>
      </c>
      <c r="NJ76" s="145">
        <f t="shared" si="60"/>
        <v>7.1428571428571425E-2</v>
      </c>
      <c r="NK76" s="145">
        <f t="shared" si="60"/>
        <v>-3.7037037037037035E-2</v>
      </c>
      <c r="NL76" s="145">
        <f t="shared" si="60"/>
        <v>-0.6875</v>
      </c>
      <c r="NM76" s="145">
        <f t="shared" si="60"/>
        <v>0.44827586206896552</v>
      </c>
      <c r="NN76" s="145">
        <f t="shared" si="60"/>
        <v>-0.31818181818181818</v>
      </c>
      <c r="NO76" s="145">
        <f t="shared" si="60"/>
        <v>0.29032258064516131</v>
      </c>
      <c r="NP76" s="145">
        <f t="shared" si="60"/>
        <v>-0.82352941176470584</v>
      </c>
      <c r="NQ76" s="145">
        <f t="shared" si="60"/>
        <v>0.2608695652173913</v>
      </c>
      <c r="NR76" s="145">
        <f t="shared" si="60"/>
        <v>-0.27777777777777779</v>
      </c>
      <c r="NS76" s="145">
        <f t="shared" si="60"/>
        <v>-0.38461538461538464</v>
      </c>
      <c r="NT76" s="145">
        <f t="shared" si="60"/>
        <v>-8.3333333333333329E-2</v>
      </c>
      <c r="NU76" s="145">
        <f t="shared" si="60"/>
        <v>0.14285714285714285</v>
      </c>
      <c r="NV76" s="145">
        <f t="shared" si="60"/>
        <v>6.6666666666666666E-2</v>
      </c>
      <c r="NW76" s="145">
        <f t="shared" si="60"/>
        <v>-7.1428571428571425E-2</v>
      </c>
      <c r="NX76" s="145">
        <f t="shared" si="61"/>
        <v>0.3</v>
      </c>
      <c r="NY76" s="145">
        <f t="shared" si="61"/>
        <v>0</v>
      </c>
      <c r="NZ76" s="145">
        <f t="shared" si="61"/>
        <v>0.2857142857142857</v>
      </c>
      <c r="OA76" s="145">
        <f t="shared" si="61"/>
        <v>3.4482758620689655E-2</v>
      </c>
      <c r="OB76" s="145">
        <f t="shared" si="61"/>
        <v>-0.20833333333333334</v>
      </c>
      <c r="OC76" s="145">
        <f t="shared" si="61"/>
        <v>-0.14285714285714285</v>
      </c>
      <c r="OD76" s="145">
        <f t="shared" si="61"/>
        <v>-0.4</v>
      </c>
      <c r="OE76" s="145">
        <f t="shared" si="61"/>
        <v>0.21052631578947367</v>
      </c>
      <c r="OF76" s="145">
        <f t="shared" si="61"/>
        <v>0</v>
      </c>
      <c r="OG76" s="145">
        <f t="shared" si="61"/>
        <v>-0.11764705882352941</v>
      </c>
      <c r="OH76" s="145">
        <f t="shared" si="61"/>
        <v>-0.88888888888888884</v>
      </c>
      <c r="OI76" s="145">
        <f t="shared" si="61"/>
        <v>0.25</v>
      </c>
      <c r="OJ76" s="145">
        <f t="shared" si="61"/>
        <v>0.42857142857142855</v>
      </c>
      <c r="OK76" s="145">
        <f t="shared" si="61"/>
        <v>0.32258064516129031</v>
      </c>
      <c r="OL76" s="145">
        <f t="shared" si="61"/>
        <v>0.18421052631578946</v>
      </c>
    </row>
    <row r="77" spans="1:402" s="145" customFormat="1" ht="19.5" customHeight="1" x14ac:dyDescent="0.35">
      <c r="A77" s="12" t="s">
        <v>32</v>
      </c>
      <c r="B77" s="156">
        <v>15</v>
      </c>
      <c r="C77" s="156">
        <v>10</v>
      </c>
      <c r="D77" s="156">
        <v>12</v>
      </c>
      <c r="E77" s="156">
        <v>8</v>
      </c>
      <c r="F77" s="156">
        <f>'[1]Jan 08'!C31</f>
        <v>10</v>
      </c>
      <c r="G77" s="143">
        <f>'[1]Feb 08'!C31</f>
        <v>11</v>
      </c>
      <c r="H77" s="143">
        <f>'[1]Mar 08'!C31</f>
        <v>7</v>
      </c>
      <c r="I77" s="143">
        <v>14</v>
      </c>
      <c r="J77" s="143">
        <f>'[1]May 08'!C31</f>
        <v>16</v>
      </c>
      <c r="K77" s="143">
        <f>'[1]Jun 08'!C31</f>
        <v>11</v>
      </c>
      <c r="L77" s="143">
        <f>'[1]Jul 08'!C31</f>
        <v>8</v>
      </c>
      <c r="M77" s="143">
        <f>'[1]Aug 08'!C31</f>
        <v>4</v>
      </c>
      <c r="N77" s="143">
        <v>4</v>
      </c>
      <c r="O77" s="143">
        <v>5</v>
      </c>
      <c r="P77" s="143">
        <v>6</v>
      </c>
      <c r="Q77" s="143">
        <v>3</v>
      </c>
      <c r="R77" s="143">
        <v>6</v>
      </c>
      <c r="S77" s="143">
        <v>7</v>
      </c>
      <c r="T77" s="143">
        <v>5</v>
      </c>
      <c r="U77" s="143">
        <v>8</v>
      </c>
      <c r="V77" s="143">
        <v>8</v>
      </c>
      <c r="W77" s="143">
        <v>12</v>
      </c>
      <c r="X77" s="143">
        <v>6</v>
      </c>
      <c r="Y77" s="143">
        <v>5</v>
      </c>
      <c r="Z77" s="143">
        <v>7</v>
      </c>
      <c r="AA77" s="143">
        <v>7</v>
      </c>
      <c r="AB77" s="143">
        <v>8</v>
      </c>
      <c r="AC77" s="143">
        <v>11</v>
      </c>
      <c r="AD77" s="143">
        <v>16</v>
      </c>
      <c r="AE77" s="143">
        <v>8</v>
      </c>
      <c r="AF77" s="143">
        <v>6</v>
      </c>
      <c r="AG77" s="143">
        <v>9</v>
      </c>
      <c r="AH77" s="143">
        <v>11</v>
      </c>
      <c r="AI77" s="143">
        <v>4</v>
      </c>
      <c r="AJ77" s="143">
        <v>6</v>
      </c>
      <c r="AK77" s="143">
        <v>5</v>
      </c>
      <c r="AL77" s="143">
        <v>8</v>
      </c>
      <c r="AM77" s="143">
        <v>7</v>
      </c>
      <c r="AN77" s="143">
        <v>8</v>
      </c>
      <c r="AO77" s="143">
        <v>8</v>
      </c>
      <c r="AP77" s="143">
        <v>7</v>
      </c>
      <c r="AQ77" s="143">
        <v>7</v>
      </c>
      <c r="AR77" s="143">
        <v>11</v>
      </c>
      <c r="AS77" s="143">
        <v>8</v>
      </c>
      <c r="AT77" s="143">
        <v>4</v>
      </c>
      <c r="AU77" s="143">
        <v>7</v>
      </c>
      <c r="AV77" s="143">
        <v>4</v>
      </c>
      <c r="AW77" s="143">
        <v>3</v>
      </c>
      <c r="AX77" s="143">
        <v>3</v>
      </c>
      <c r="AY77" s="143">
        <v>3</v>
      </c>
      <c r="AZ77" s="143">
        <v>2</v>
      </c>
      <c r="BA77" s="143">
        <v>3</v>
      </c>
      <c r="BB77" s="143">
        <v>4</v>
      </c>
      <c r="BC77" s="143">
        <v>9</v>
      </c>
      <c r="BD77" s="143">
        <v>6</v>
      </c>
      <c r="BE77" s="143">
        <v>9</v>
      </c>
      <c r="BF77" s="143">
        <v>6</v>
      </c>
      <c r="BG77" s="143">
        <v>6</v>
      </c>
      <c r="BH77" s="143">
        <v>5</v>
      </c>
      <c r="BI77" s="143">
        <v>6</v>
      </c>
      <c r="BJ77" s="143">
        <v>6</v>
      </c>
      <c r="BK77" s="143">
        <v>3</v>
      </c>
      <c r="BL77" s="143">
        <v>5</v>
      </c>
      <c r="BM77" s="143">
        <v>1</v>
      </c>
      <c r="BN77" s="143">
        <v>5</v>
      </c>
      <c r="BO77" s="143">
        <v>10</v>
      </c>
      <c r="BP77" s="143">
        <v>9</v>
      </c>
      <c r="BQ77" s="143">
        <v>10</v>
      </c>
      <c r="BR77" s="143">
        <v>10</v>
      </c>
      <c r="BS77" s="143">
        <v>6</v>
      </c>
      <c r="BT77" s="143">
        <v>3</v>
      </c>
      <c r="BU77" s="143">
        <v>3</v>
      </c>
      <c r="BV77" s="143">
        <v>3</v>
      </c>
      <c r="BW77" s="143">
        <v>4</v>
      </c>
      <c r="BX77" s="143">
        <v>7</v>
      </c>
      <c r="BY77" s="143">
        <v>12</v>
      </c>
      <c r="BZ77" s="143">
        <v>12</v>
      </c>
      <c r="CA77" s="143">
        <v>13</v>
      </c>
      <c r="CB77" s="143">
        <v>22</v>
      </c>
      <c r="CC77" s="143">
        <v>15</v>
      </c>
      <c r="CD77" s="143">
        <v>13</v>
      </c>
      <c r="CE77" s="143">
        <v>11</v>
      </c>
      <c r="CF77" s="143">
        <v>10</v>
      </c>
      <c r="CG77" s="143">
        <v>10</v>
      </c>
      <c r="CH77" s="143">
        <v>9</v>
      </c>
      <c r="CI77" s="143">
        <v>7</v>
      </c>
      <c r="CJ77" s="143">
        <v>9</v>
      </c>
      <c r="CK77" s="143">
        <v>7</v>
      </c>
      <c r="CL77" s="143">
        <v>14</v>
      </c>
      <c r="CM77" s="143">
        <v>9</v>
      </c>
      <c r="CN77" s="143">
        <v>13</v>
      </c>
      <c r="CO77" s="143">
        <v>10</v>
      </c>
      <c r="CP77" s="143">
        <v>6</v>
      </c>
      <c r="CQ77" s="143">
        <v>7</v>
      </c>
      <c r="CR77" s="143">
        <v>5</v>
      </c>
      <c r="CS77" s="143">
        <v>5</v>
      </c>
      <c r="CT77" s="143">
        <v>8</v>
      </c>
      <c r="CU77" s="143">
        <v>6</v>
      </c>
      <c r="CV77" s="143">
        <v>10</v>
      </c>
      <c r="CW77" s="143">
        <v>9</v>
      </c>
      <c r="CX77" s="143">
        <v>4</v>
      </c>
      <c r="CY77" s="143">
        <v>9</v>
      </c>
      <c r="CZ77" s="143">
        <v>10</v>
      </c>
      <c r="DA77" s="143">
        <v>13</v>
      </c>
      <c r="DB77" s="143">
        <v>13</v>
      </c>
      <c r="DC77" s="143">
        <v>16</v>
      </c>
      <c r="DD77" s="143">
        <v>6</v>
      </c>
      <c r="DE77" s="143">
        <v>7</v>
      </c>
      <c r="DF77" s="143">
        <v>4</v>
      </c>
      <c r="DG77" s="143">
        <v>7</v>
      </c>
      <c r="DH77" s="143">
        <v>7</v>
      </c>
      <c r="DI77" s="143">
        <v>8</v>
      </c>
      <c r="DJ77" s="143">
        <v>9</v>
      </c>
      <c r="DK77" s="143">
        <v>11</v>
      </c>
      <c r="DL77" s="143">
        <v>9</v>
      </c>
      <c r="DM77" s="143">
        <v>5</v>
      </c>
      <c r="DN77" s="143">
        <v>10</v>
      </c>
      <c r="DO77" s="143">
        <v>10</v>
      </c>
      <c r="DP77" s="143">
        <v>9</v>
      </c>
      <c r="DQ77" s="143">
        <v>9</v>
      </c>
      <c r="DR77" s="143">
        <v>9</v>
      </c>
      <c r="DS77" s="143">
        <v>9</v>
      </c>
      <c r="DT77" s="143">
        <v>12</v>
      </c>
      <c r="DU77" s="143">
        <v>7</v>
      </c>
      <c r="DV77" s="143">
        <v>13</v>
      </c>
      <c r="DW77" s="143">
        <v>17</v>
      </c>
      <c r="DX77" s="143">
        <v>13</v>
      </c>
      <c r="DY77" s="143">
        <v>18</v>
      </c>
      <c r="DZ77" s="143">
        <v>15</v>
      </c>
      <c r="EA77" s="143">
        <v>14</v>
      </c>
      <c r="EB77" s="143">
        <v>12</v>
      </c>
      <c r="EC77" s="143">
        <v>13</v>
      </c>
      <c r="ED77" s="143">
        <v>12</v>
      </c>
      <c r="EE77" s="143">
        <v>7</v>
      </c>
      <c r="EF77" s="143">
        <v>10</v>
      </c>
      <c r="EG77" s="143">
        <v>13</v>
      </c>
      <c r="EH77" s="143">
        <v>12</v>
      </c>
      <c r="EI77" s="143">
        <v>17</v>
      </c>
      <c r="EJ77" s="143">
        <v>14</v>
      </c>
      <c r="EK77" s="143">
        <v>18</v>
      </c>
      <c r="EL77" s="143">
        <v>19</v>
      </c>
      <c r="EM77" s="143">
        <v>21</v>
      </c>
      <c r="EN77" s="143">
        <v>11</v>
      </c>
      <c r="EO77" s="143">
        <v>16</v>
      </c>
      <c r="EP77" s="143">
        <v>13</v>
      </c>
      <c r="EQ77" s="143">
        <v>11</v>
      </c>
      <c r="ER77" s="143">
        <v>13</v>
      </c>
      <c r="ES77" s="143">
        <v>13</v>
      </c>
      <c r="ET77" s="143">
        <v>20</v>
      </c>
      <c r="EU77" s="143">
        <v>20</v>
      </c>
      <c r="EV77" s="143">
        <v>7</v>
      </c>
      <c r="EW77" s="143">
        <v>12</v>
      </c>
      <c r="EX77" s="143">
        <v>10</v>
      </c>
      <c r="EY77" s="143">
        <v>17</v>
      </c>
      <c r="EZ77" s="143">
        <v>17</v>
      </c>
      <c r="FA77" s="143">
        <v>24</v>
      </c>
      <c r="FB77" s="143">
        <v>23</v>
      </c>
      <c r="FC77" s="143">
        <v>18</v>
      </c>
      <c r="FD77" s="143">
        <v>24</v>
      </c>
      <c r="FE77" s="143">
        <v>28</v>
      </c>
      <c r="FF77" s="143">
        <v>28</v>
      </c>
      <c r="FG77" s="143">
        <v>44</v>
      </c>
      <c r="FH77" s="143">
        <v>53</v>
      </c>
      <c r="FI77" s="143">
        <v>46</v>
      </c>
      <c r="FJ77" s="143">
        <v>47</v>
      </c>
      <c r="FK77" s="143">
        <v>38</v>
      </c>
      <c r="FL77" s="143">
        <v>31</v>
      </c>
      <c r="FM77" s="143">
        <v>35</v>
      </c>
      <c r="FN77" s="143">
        <v>33</v>
      </c>
      <c r="FO77" s="143">
        <v>22</v>
      </c>
      <c r="FP77" s="143">
        <v>23</v>
      </c>
      <c r="FQ77" s="143">
        <v>29</v>
      </c>
      <c r="FR77" s="143">
        <v>45</v>
      </c>
      <c r="FS77" s="143">
        <v>42</v>
      </c>
      <c r="FT77" s="143">
        <v>52</v>
      </c>
      <c r="FU77" s="143">
        <v>46</v>
      </c>
      <c r="FV77" s="143">
        <v>49</v>
      </c>
      <c r="FW77" s="143">
        <v>31</v>
      </c>
      <c r="FX77" s="143">
        <v>28</v>
      </c>
      <c r="FY77" s="143">
        <v>22</v>
      </c>
      <c r="FZ77" s="143">
        <v>24</v>
      </c>
      <c r="GA77" s="143">
        <v>18</v>
      </c>
      <c r="GB77" s="143">
        <v>25</v>
      </c>
      <c r="GC77" s="143">
        <v>23</v>
      </c>
      <c r="GD77" s="143">
        <v>23</v>
      </c>
      <c r="GE77" s="143">
        <v>33</v>
      </c>
      <c r="GF77" s="143">
        <v>30</v>
      </c>
      <c r="GG77" s="143">
        <v>39</v>
      </c>
      <c r="GH77" s="143">
        <v>36</v>
      </c>
      <c r="GI77" s="143">
        <v>29</v>
      </c>
      <c r="GJ77" s="143">
        <v>38</v>
      </c>
      <c r="GK77" s="143">
        <v>25</v>
      </c>
      <c r="GL77" s="143">
        <v>33</v>
      </c>
      <c r="GM77" s="143">
        <v>31</v>
      </c>
      <c r="GN77" s="143">
        <v>22</v>
      </c>
      <c r="GO77" s="143">
        <v>24</v>
      </c>
      <c r="GP77" s="143">
        <v>36</v>
      </c>
      <c r="GQ77" s="143">
        <v>37</v>
      </c>
      <c r="GR77" s="143">
        <v>50</v>
      </c>
      <c r="GS77" s="143">
        <f t="shared" si="62"/>
        <v>33.333333333333336</v>
      </c>
      <c r="GT77" s="152"/>
      <c r="GU77" s="12" t="s">
        <v>32</v>
      </c>
      <c r="GV77" s="145" t="s">
        <v>30</v>
      </c>
      <c r="GW77" s="145">
        <f t="shared" ref="GW77:HL79" si="63">(C77-B77)/B77</f>
        <v>-0.33333333333333331</v>
      </c>
      <c r="GX77" s="145">
        <f t="shared" si="63"/>
        <v>0.2</v>
      </c>
      <c r="GY77" s="145">
        <f t="shared" si="63"/>
        <v>-0.33333333333333331</v>
      </c>
      <c r="GZ77" s="145">
        <f t="shared" si="63"/>
        <v>0.25</v>
      </c>
      <c r="HA77" s="145">
        <f t="shared" si="63"/>
        <v>0.1</v>
      </c>
      <c r="HB77" s="145">
        <f t="shared" si="63"/>
        <v>-0.36363636363636365</v>
      </c>
      <c r="HC77" s="145">
        <f t="shared" si="63"/>
        <v>1</v>
      </c>
      <c r="HD77" s="145">
        <f t="shared" si="63"/>
        <v>0.14285714285714285</v>
      </c>
      <c r="HE77" s="145">
        <f t="shared" si="63"/>
        <v>-0.3125</v>
      </c>
      <c r="HF77" s="145">
        <f t="shared" si="63"/>
        <v>-0.27272727272727271</v>
      </c>
      <c r="HG77" s="145">
        <f t="shared" si="63"/>
        <v>-0.5</v>
      </c>
      <c r="HH77" s="145">
        <f t="shared" si="63"/>
        <v>0</v>
      </c>
      <c r="HI77" s="145">
        <f t="shared" si="63"/>
        <v>0.25</v>
      </c>
      <c r="HJ77" s="145">
        <f t="shared" si="63"/>
        <v>0.2</v>
      </c>
      <c r="HK77" s="145">
        <f t="shared" si="63"/>
        <v>-0.5</v>
      </c>
      <c r="HL77" s="145">
        <f t="shared" si="63"/>
        <v>1</v>
      </c>
      <c r="HM77" s="145">
        <f t="shared" ref="HM77:IB79" si="64">(S77-R77)/R77</f>
        <v>0.16666666666666666</v>
      </c>
      <c r="HN77" s="145">
        <f t="shared" si="64"/>
        <v>-0.2857142857142857</v>
      </c>
      <c r="HO77" s="145">
        <f t="shared" si="64"/>
        <v>0.6</v>
      </c>
      <c r="HP77" s="145">
        <f t="shared" si="64"/>
        <v>0</v>
      </c>
      <c r="HQ77" s="145">
        <f t="shared" si="64"/>
        <v>0.5</v>
      </c>
      <c r="HR77" s="145">
        <f t="shared" si="64"/>
        <v>-0.5</v>
      </c>
      <c r="HS77" s="145">
        <f t="shared" si="64"/>
        <v>-0.16666666666666666</v>
      </c>
      <c r="HT77" s="145">
        <f t="shared" si="64"/>
        <v>0.4</v>
      </c>
      <c r="HU77" s="145">
        <f t="shared" si="64"/>
        <v>0</v>
      </c>
      <c r="HV77" s="145">
        <f t="shared" si="64"/>
        <v>0.14285714285714285</v>
      </c>
      <c r="HW77" s="145">
        <f t="shared" si="64"/>
        <v>0.375</v>
      </c>
      <c r="HX77" s="145">
        <f t="shared" si="64"/>
        <v>0.45454545454545453</v>
      </c>
      <c r="HY77" s="145">
        <f t="shared" si="64"/>
        <v>-0.5</v>
      </c>
      <c r="HZ77" s="145">
        <f t="shared" si="64"/>
        <v>-0.25</v>
      </c>
      <c r="IA77" s="145">
        <f t="shared" si="64"/>
        <v>0.5</v>
      </c>
      <c r="IB77" s="145">
        <f t="shared" si="64"/>
        <v>0.22222222222222221</v>
      </c>
      <c r="IC77" s="145">
        <f t="shared" ref="IC77:IR79" si="65">(AI77-AH77)/AH77</f>
        <v>-0.63636363636363635</v>
      </c>
      <c r="ID77" s="145">
        <f t="shared" si="65"/>
        <v>0.5</v>
      </c>
      <c r="IE77" s="145">
        <f t="shared" si="65"/>
        <v>-0.16666666666666666</v>
      </c>
      <c r="IF77" s="145">
        <f t="shared" si="65"/>
        <v>0.6</v>
      </c>
      <c r="IG77" s="145">
        <f t="shared" si="65"/>
        <v>-0.125</v>
      </c>
      <c r="IH77" s="145">
        <f t="shared" si="65"/>
        <v>0.14285714285714285</v>
      </c>
      <c r="II77" s="145">
        <f t="shared" si="65"/>
        <v>0</v>
      </c>
      <c r="IJ77" s="145">
        <f t="shared" si="65"/>
        <v>-0.125</v>
      </c>
      <c r="IK77" s="145">
        <f t="shared" si="65"/>
        <v>0</v>
      </c>
      <c r="IL77" s="145">
        <f t="shared" si="65"/>
        <v>0.5714285714285714</v>
      </c>
      <c r="IM77" s="145">
        <f t="shared" si="65"/>
        <v>-0.27272727272727271</v>
      </c>
      <c r="IN77" s="145">
        <f t="shared" si="65"/>
        <v>-0.5</v>
      </c>
      <c r="IO77" s="145">
        <f t="shared" si="65"/>
        <v>0.75</v>
      </c>
      <c r="IP77" s="145">
        <f t="shared" si="65"/>
        <v>-0.42857142857142855</v>
      </c>
      <c r="IQ77" s="145">
        <f t="shared" si="65"/>
        <v>-0.25</v>
      </c>
      <c r="IR77" s="145">
        <f t="shared" si="65"/>
        <v>0</v>
      </c>
      <c r="IS77" s="145">
        <f t="shared" ref="IS77:JH79" si="66">(AY77-AX77)/AX77</f>
        <v>0</v>
      </c>
      <c r="IT77" s="145">
        <f t="shared" si="66"/>
        <v>-0.33333333333333331</v>
      </c>
      <c r="IU77" s="145">
        <f t="shared" si="66"/>
        <v>0.5</v>
      </c>
      <c r="IV77" s="145">
        <f t="shared" si="66"/>
        <v>0.33333333333333331</v>
      </c>
      <c r="IW77" s="145">
        <f t="shared" si="66"/>
        <v>1.25</v>
      </c>
      <c r="IX77" s="145">
        <f t="shared" si="66"/>
        <v>-0.33333333333333331</v>
      </c>
      <c r="IY77" s="145">
        <f t="shared" si="66"/>
        <v>0.5</v>
      </c>
      <c r="IZ77" s="145">
        <f t="shared" si="66"/>
        <v>-0.33333333333333331</v>
      </c>
      <c r="JA77" s="145">
        <f t="shared" si="66"/>
        <v>0</v>
      </c>
      <c r="JB77" s="145">
        <f t="shared" si="66"/>
        <v>-0.16666666666666666</v>
      </c>
      <c r="JC77" s="145">
        <f t="shared" si="66"/>
        <v>0.2</v>
      </c>
      <c r="JD77" s="145">
        <f t="shared" si="66"/>
        <v>0</v>
      </c>
      <c r="JE77" s="145">
        <f t="shared" si="66"/>
        <v>-0.5</v>
      </c>
      <c r="JF77" s="145">
        <f t="shared" si="66"/>
        <v>0.66666666666666663</v>
      </c>
      <c r="JG77" s="145">
        <f t="shared" si="66"/>
        <v>-0.8</v>
      </c>
      <c r="JH77" s="145">
        <f t="shared" si="66"/>
        <v>4</v>
      </c>
      <c r="JI77" s="145">
        <f t="shared" ref="JI77:JX79" si="67">(BO77-BN77)/BN77</f>
        <v>1</v>
      </c>
      <c r="JJ77" s="145">
        <f t="shared" si="67"/>
        <v>-0.1</v>
      </c>
      <c r="JK77" s="145">
        <f t="shared" si="67"/>
        <v>0.1111111111111111</v>
      </c>
      <c r="JL77" s="145">
        <f t="shared" si="67"/>
        <v>0</v>
      </c>
      <c r="JM77" s="145">
        <f t="shared" si="67"/>
        <v>-0.4</v>
      </c>
      <c r="JN77" s="145">
        <f t="shared" si="67"/>
        <v>-0.5</v>
      </c>
      <c r="JO77" s="145">
        <f t="shared" si="67"/>
        <v>0</v>
      </c>
      <c r="JP77" s="145">
        <f t="shared" si="67"/>
        <v>0</v>
      </c>
      <c r="JQ77" s="145">
        <f t="shared" si="67"/>
        <v>0.33333333333333331</v>
      </c>
      <c r="JR77" s="145">
        <f t="shared" si="67"/>
        <v>0.75</v>
      </c>
      <c r="JS77" s="145">
        <f t="shared" si="67"/>
        <v>0.7142857142857143</v>
      </c>
      <c r="JT77" s="145">
        <f t="shared" si="67"/>
        <v>0</v>
      </c>
      <c r="JU77" s="145">
        <f t="shared" si="67"/>
        <v>8.3333333333333329E-2</v>
      </c>
      <c r="JV77" s="145">
        <f t="shared" si="67"/>
        <v>0.69230769230769229</v>
      </c>
      <c r="JW77" s="145">
        <f t="shared" si="67"/>
        <v>-0.31818181818181818</v>
      </c>
      <c r="JX77" s="145">
        <f t="shared" si="67"/>
        <v>-0.13333333333333333</v>
      </c>
      <c r="JY77" s="145">
        <f t="shared" ref="JY77:KN79" si="68">(CE77-CD77)/CD77</f>
        <v>-0.15384615384615385</v>
      </c>
      <c r="JZ77" s="145">
        <f t="shared" si="68"/>
        <v>-9.0909090909090912E-2</v>
      </c>
      <c r="KA77" s="145">
        <f t="shared" si="68"/>
        <v>0</v>
      </c>
      <c r="KB77" s="145">
        <f t="shared" si="68"/>
        <v>-0.1</v>
      </c>
      <c r="KC77" s="145">
        <f t="shared" si="68"/>
        <v>-0.22222222222222221</v>
      </c>
      <c r="KD77" s="145">
        <f t="shared" si="68"/>
        <v>0.2857142857142857</v>
      </c>
      <c r="KE77" s="145">
        <f t="shared" si="68"/>
        <v>-0.22222222222222221</v>
      </c>
      <c r="KF77" s="145">
        <f t="shared" si="68"/>
        <v>1</v>
      </c>
      <c r="KG77" s="145">
        <f t="shared" si="68"/>
        <v>-0.35714285714285715</v>
      </c>
      <c r="KH77" s="145">
        <f t="shared" si="68"/>
        <v>0.44444444444444442</v>
      </c>
      <c r="KI77" s="145">
        <f t="shared" si="68"/>
        <v>-0.23076923076923078</v>
      </c>
      <c r="KJ77" s="145">
        <f t="shared" si="68"/>
        <v>-0.4</v>
      </c>
      <c r="KK77" s="145">
        <f t="shared" si="68"/>
        <v>0.16666666666666666</v>
      </c>
      <c r="KL77" s="145">
        <f t="shared" si="68"/>
        <v>-0.2857142857142857</v>
      </c>
      <c r="KM77" s="145">
        <f t="shared" si="68"/>
        <v>0</v>
      </c>
      <c r="KN77" s="145">
        <f t="shared" si="68"/>
        <v>0.6</v>
      </c>
      <c r="KO77" s="145">
        <f t="shared" ref="KO77:LD79" si="69">(CU77-CT77)/CT77</f>
        <v>-0.25</v>
      </c>
      <c r="KP77" s="145">
        <f t="shared" si="69"/>
        <v>0.66666666666666663</v>
      </c>
      <c r="KQ77" s="145">
        <f t="shared" si="69"/>
        <v>-0.1</v>
      </c>
      <c r="KR77" s="145">
        <f t="shared" si="69"/>
        <v>-0.55555555555555558</v>
      </c>
      <c r="KS77" s="145">
        <f t="shared" si="69"/>
        <v>1.25</v>
      </c>
      <c r="KT77" s="145">
        <f t="shared" si="69"/>
        <v>0.1111111111111111</v>
      </c>
      <c r="KU77" s="145">
        <f t="shared" si="69"/>
        <v>0.3</v>
      </c>
      <c r="KV77" s="145">
        <f t="shared" si="69"/>
        <v>0</v>
      </c>
      <c r="KW77" s="145">
        <f t="shared" si="69"/>
        <v>0.23076923076923078</v>
      </c>
      <c r="KX77" s="145">
        <f t="shared" si="69"/>
        <v>-0.625</v>
      </c>
      <c r="KY77" s="145">
        <f t="shared" si="69"/>
        <v>0.16666666666666666</v>
      </c>
      <c r="KZ77" s="145">
        <f t="shared" si="69"/>
        <v>-0.42857142857142855</v>
      </c>
      <c r="LA77" s="145">
        <f t="shared" si="69"/>
        <v>0.75</v>
      </c>
      <c r="LB77" s="145">
        <f t="shared" si="69"/>
        <v>0</v>
      </c>
      <c r="LC77" s="145">
        <f t="shared" si="69"/>
        <v>0.14285714285714285</v>
      </c>
      <c r="LD77" s="145">
        <f t="shared" si="69"/>
        <v>0.125</v>
      </c>
      <c r="LE77" s="145">
        <f t="shared" si="57"/>
        <v>0.22222222222222221</v>
      </c>
      <c r="LF77" s="145">
        <f t="shared" si="57"/>
        <v>-0.18181818181818182</v>
      </c>
      <c r="LG77" s="145">
        <f t="shared" si="57"/>
        <v>-0.44444444444444442</v>
      </c>
      <c r="LH77" s="145">
        <f t="shared" si="57"/>
        <v>1</v>
      </c>
      <c r="LI77" s="145">
        <f t="shared" si="57"/>
        <v>0</v>
      </c>
      <c r="LJ77" s="145">
        <f t="shared" si="57"/>
        <v>-0.1</v>
      </c>
      <c r="LK77" s="145">
        <f t="shared" si="57"/>
        <v>0</v>
      </c>
      <c r="LL77" s="145">
        <f t="shared" si="57"/>
        <v>0</v>
      </c>
      <c r="LM77" s="145">
        <f t="shared" si="57"/>
        <v>0</v>
      </c>
      <c r="LN77" s="145">
        <f t="shared" si="57"/>
        <v>0.33333333333333331</v>
      </c>
      <c r="LO77" s="145">
        <f t="shared" si="57"/>
        <v>-0.41666666666666669</v>
      </c>
      <c r="LP77" s="145">
        <f t="shared" si="57"/>
        <v>0.8571428571428571</v>
      </c>
      <c r="LQ77" s="145">
        <f t="shared" si="57"/>
        <v>0.30769230769230771</v>
      </c>
      <c r="LR77" s="145">
        <f t="shared" si="57"/>
        <v>-0.23529411764705882</v>
      </c>
      <c r="LS77" s="145">
        <f t="shared" si="57"/>
        <v>0.38461538461538464</v>
      </c>
      <c r="LT77" s="145">
        <f t="shared" si="57"/>
        <v>-0.16666666666666666</v>
      </c>
      <c r="LU77" s="145">
        <f t="shared" si="58"/>
        <v>-6.6666666666666666E-2</v>
      </c>
      <c r="LV77" s="145">
        <f t="shared" si="58"/>
        <v>-0.14285714285714285</v>
      </c>
      <c r="LW77" s="145">
        <f t="shared" si="58"/>
        <v>8.3333333333333329E-2</v>
      </c>
      <c r="LX77" s="145">
        <f t="shared" si="58"/>
        <v>-7.6923076923076927E-2</v>
      </c>
      <c r="LY77" s="145">
        <f t="shared" si="58"/>
        <v>-0.41666666666666669</v>
      </c>
      <c r="LZ77" s="145">
        <f t="shared" si="58"/>
        <v>0.42857142857142855</v>
      </c>
      <c r="MA77" s="145">
        <f t="shared" si="58"/>
        <v>0.3</v>
      </c>
      <c r="MB77" s="145">
        <f t="shared" si="58"/>
        <v>-7.6923076923076927E-2</v>
      </c>
      <c r="MC77" s="145">
        <f t="shared" si="58"/>
        <v>0.41666666666666669</v>
      </c>
      <c r="MD77" s="145">
        <f t="shared" si="58"/>
        <v>-0.17647058823529413</v>
      </c>
      <c r="ME77" s="145">
        <f t="shared" si="58"/>
        <v>0.2857142857142857</v>
      </c>
      <c r="MF77" s="145">
        <f t="shared" si="58"/>
        <v>5.5555555555555552E-2</v>
      </c>
      <c r="MG77" s="145">
        <f t="shared" si="58"/>
        <v>0.10526315789473684</v>
      </c>
      <c r="MH77" s="145">
        <f t="shared" si="58"/>
        <v>-0.47619047619047616</v>
      </c>
      <c r="MI77" s="145">
        <f t="shared" si="58"/>
        <v>0.45454545454545453</v>
      </c>
      <c r="MJ77" s="145">
        <f t="shared" si="58"/>
        <v>-0.1875</v>
      </c>
      <c r="MK77" s="145">
        <f t="shared" si="58"/>
        <v>-0.15384615384615385</v>
      </c>
      <c r="ML77" s="145">
        <f t="shared" si="58"/>
        <v>0.18181818181818182</v>
      </c>
      <c r="MM77" s="145">
        <f t="shared" si="58"/>
        <v>0</v>
      </c>
      <c r="MN77" s="145">
        <f t="shared" si="58"/>
        <v>0.53846153846153844</v>
      </c>
      <c r="MO77" s="145">
        <f t="shared" si="58"/>
        <v>0</v>
      </c>
      <c r="MP77" s="145">
        <f t="shared" si="58"/>
        <v>-0.65</v>
      </c>
      <c r="MQ77" s="145">
        <f t="shared" si="58"/>
        <v>0.7142857142857143</v>
      </c>
      <c r="MR77" s="145">
        <f t="shared" si="58"/>
        <v>-0.16666666666666666</v>
      </c>
      <c r="MS77" s="145">
        <f>(EZ77-EY77)/EY77</f>
        <v>0</v>
      </c>
      <c r="MT77" s="145">
        <f t="shared" si="59"/>
        <v>0</v>
      </c>
      <c r="MU77" s="145">
        <f t="shared" si="59"/>
        <v>0.29166666666666669</v>
      </c>
      <c r="MV77" s="145">
        <f t="shared" si="59"/>
        <v>-4.3478260869565216E-2</v>
      </c>
      <c r="MW77" s="145">
        <f t="shared" si="59"/>
        <v>-0.27777777777777779</v>
      </c>
      <c r="MX77" s="145">
        <f t="shared" si="59"/>
        <v>0.25</v>
      </c>
      <c r="MY77" s="145">
        <f t="shared" si="59"/>
        <v>0.14285714285714285</v>
      </c>
      <c r="MZ77" s="145">
        <f t="shared" si="59"/>
        <v>0</v>
      </c>
      <c r="NA77" s="145">
        <f t="shared" si="59"/>
        <v>0.36363636363636365</v>
      </c>
      <c r="NB77" s="145">
        <f t="shared" si="59"/>
        <v>0.16981132075471697</v>
      </c>
      <c r="NC77" s="145">
        <f t="shared" si="59"/>
        <v>-0.15217391304347827</v>
      </c>
      <c r="ND77" s="145">
        <f t="shared" si="59"/>
        <v>2.1276595744680851E-2</v>
      </c>
      <c r="NE77" s="145">
        <f t="shared" si="59"/>
        <v>-0.23684210526315788</v>
      </c>
      <c r="NF77" s="145">
        <f t="shared" si="59"/>
        <v>-0.22580645161290322</v>
      </c>
      <c r="NG77" s="145">
        <f t="shared" si="59"/>
        <v>0.11428571428571428</v>
      </c>
      <c r="NH77" s="145">
        <f t="shared" si="59"/>
        <v>-6.0606060606060608E-2</v>
      </c>
      <c r="NI77" s="145">
        <f t="shared" si="59"/>
        <v>-0.5</v>
      </c>
      <c r="NJ77" s="145">
        <f t="shared" si="60"/>
        <v>4.3478260869565216E-2</v>
      </c>
      <c r="NK77" s="145">
        <f t="shared" si="60"/>
        <v>0.20689655172413793</v>
      </c>
      <c r="NL77" s="145">
        <f t="shared" si="60"/>
        <v>0.35555555555555557</v>
      </c>
      <c r="NM77" s="145">
        <f t="shared" si="60"/>
        <v>-7.1428571428571425E-2</v>
      </c>
      <c r="NN77" s="145">
        <f t="shared" si="60"/>
        <v>0.19230769230769232</v>
      </c>
      <c r="NO77" s="145">
        <f t="shared" si="60"/>
        <v>-0.13043478260869565</v>
      </c>
      <c r="NP77" s="145">
        <f t="shared" si="60"/>
        <v>6.1224489795918366E-2</v>
      </c>
      <c r="NQ77" s="145">
        <f t="shared" si="60"/>
        <v>-0.58064516129032262</v>
      </c>
      <c r="NR77" s="145">
        <f t="shared" si="60"/>
        <v>-0.10714285714285714</v>
      </c>
      <c r="NS77" s="145">
        <f t="shared" si="60"/>
        <v>-0.27272727272727271</v>
      </c>
      <c r="NT77" s="145">
        <f t="shared" si="60"/>
        <v>8.3333333333333329E-2</v>
      </c>
      <c r="NU77" s="145">
        <f t="shared" si="60"/>
        <v>-0.33333333333333331</v>
      </c>
      <c r="NV77" s="145">
        <f t="shared" si="60"/>
        <v>0.28000000000000003</v>
      </c>
      <c r="NW77" s="145">
        <f t="shared" si="60"/>
        <v>-8.6956521739130432E-2</v>
      </c>
      <c r="NX77" s="145">
        <f t="shared" si="61"/>
        <v>0</v>
      </c>
      <c r="NY77" s="145">
        <f t="shared" si="61"/>
        <v>0.30303030303030304</v>
      </c>
      <c r="NZ77" s="145">
        <f t="shared" si="61"/>
        <v>-0.1</v>
      </c>
      <c r="OA77" s="145">
        <f t="shared" si="61"/>
        <v>0.23076923076923078</v>
      </c>
      <c r="OB77" s="145">
        <f t="shared" si="61"/>
        <v>-8.3333333333333329E-2</v>
      </c>
      <c r="OC77" s="145">
        <f t="shared" si="61"/>
        <v>-0.2413793103448276</v>
      </c>
      <c r="OD77" s="145">
        <f t="shared" si="61"/>
        <v>0.23684210526315788</v>
      </c>
      <c r="OE77" s="145">
        <f t="shared" si="61"/>
        <v>-0.52</v>
      </c>
      <c r="OF77" s="145">
        <f t="shared" si="61"/>
        <v>0.24242424242424243</v>
      </c>
      <c r="OG77" s="145">
        <f t="shared" si="61"/>
        <v>-6.4516129032258063E-2</v>
      </c>
      <c r="OH77" s="145">
        <f t="shared" si="61"/>
        <v>-0.40909090909090912</v>
      </c>
      <c r="OI77" s="145">
        <f t="shared" si="61"/>
        <v>8.3333333333333329E-2</v>
      </c>
      <c r="OJ77" s="145">
        <f t="shared" si="61"/>
        <v>0.33333333333333331</v>
      </c>
      <c r="OK77" s="145">
        <f t="shared" si="61"/>
        <v>2.7027027027027029E-2</v>
      </c>
      <c r="OL77" s="145">
        <f t="shared" si="61"/>
        <v>0.26</v>
      </c>
    </row>
    <row r="78" spans="1:402" s="145" customFormat="1" ht="19.5" customHeight="1" x14ac:dyDescent="0.35">
      <c r="A78" s="12" t="s">
        <v>33</v>
      </c>
      <c r="B78" s="156">
        <v>3</v>
      </c>
      <c r="C78" s="156">
        <v>13</v>
      </c>
      <c r="D78" s="156">
        <v>10</v>
      </c>
      <c r="E78" s="156">
        <v>7</v>
      </c>
      <c r="F78" s="156">
        <f>'[1]Jan 08'!C33</f>
        <v>4</v>
      </c>
      <c r="G78" s="143">
        <f>'[1]Feb 08'!C33</f>
        <v>7</v>
      </c>
      <c r="H78" s="143">
        <f>'[1]Mar 08'!C33</f>
        <v>11</v>
      </c>
      <c r="I78" s="143">
        <v>5</v>
      </c>
      <c r="J78" s="143">
        <f>'[1]May 08'!C33</f>
        <v>8</v>
      </c>
      <c r="K78" s="143">
        <f>'[1]Jun 08'!C33</f>
        <v>10</v>
      </c>
      <c r="L78" s="143">
        <f>'[1]Jul 08'!C33</f>
        <v>5</v>
      </c>
      <c r="M78" s="143">
        <f>'[1]Aug 08'!C33</f>
        <v>8</v>
      </c>
      <c r="N78" s="143">
        <v>1</v>
      </c>
      <c r="O78" s="143">
        <v>5</v>
      </c>
      <c r="P78" s="143">
        <v>2</v>
      </c>
      <c r="Q78" s="143">
        <v>5</v>
      </c>
      <c r="R78" s="143">
        <v>2</v>
      </c>
      <c r="S78" s="143">
        <v>6</v>
      </c>
      <c r="T78" s="143">
        <v>9</v>
      </c>
      <c r="U78" s="143">
        <v>5</v>
      </c>
      <c r="V78" s="143">
        <v>6</v>
      </c>
      <c r="W78" s="143">
        <v>5</v>
      </c>
      <c r="X78" s="143">
        <v>9</v>
      </c>
      <c r="Y78" s="143">
        <v>3</v>
      </c>
      <c r="Z78" s="143">
        <v>4</v>
      </c>
      <c r="AA78" s="143">
        <v>5</v>
      </c>
      <c r="AB78" s="143">
        <v>4</v>
      </c>
      <c r="AC78" s="143">
        <v>6</v>
      </c>
      <c r="AD78" s="143">
        <v>9</v>
      </c>
      <c r="AE78" s="143">
        <v>11</v>
      </c>
      <c r="AF78" s="143">
        <v>10</v>
      </c>
      <c r="AG78" s="143">
        <v>7</v>
      </c>
      <c r="AH78" s="143">
        <v>7</v>
      </c>
      <c r="AI78" s="143">
        <v>10</v>
      </c>
      <c r="AJ78" s="143">
        <v>5</v>
      </c>
      <c r="AK78" s="143">
        <v>3</v>
      </c>
      <c r="AL78" s="143">
        <v>3</v>
      </c>
      <c r="AM78" s="143">
        <v>4</v>
      </c>
      <c r="AN78" s="143">
        <v>6</v>
      </c>
      <c r="AO78" s="143">
        <v>8</v>
      </c>
      <c r="AP78" s="143">
        <v>6</v>
      </c>
      <c r="AQ78" s="143">
        <v>6</v>
      </c>
      <c r="AR78" s="143">
        <v>5</v>
      </c>
      <c r="AS78" s="143">
        <v>10</v>
      </c>
      <c r="AT78" s="143">
        <v>6</v>
      </c>
      <c r="AU78" s="143">
        <v>4</v>
      </c>
      <c r="AV78" s="143">
        <v>6</v>
      </c>
      <c r="AW78" s="143">
        <v>6</v>
      </c>
      <c r="AX78" s="143">
        <v>4</v>
      </c>
      <c r="AY78" s="143">
        <v>1</v>
      </c>
      <c r="AZ78" s="143">
        <v>4</v>
      </c>
      <c r="BA78" s="143">
        <v>2</v>
      </c>
      <c r="BB78" s="143">
        <v>3</v>
      </c>
      <c r="BC78" s="143">
        <v>4</v>
      </c>
      <c r="BD78" s="143">
        <v>11</v>
      </c>
      <c r="BE78" s="143">
        <v>6</v>
      </c>
      <c r="BF78" s="143">
        <v>8</v>
      </c>
      <c r="BG78" s="143">
        <v>4</v>
      </c>
      <c r="BH78" s="143">
        <v>4</v>
      </c>
      <c r="BI78" s="143">
        <v>6</v>
      </c>
      <c r="BJ78" s="143">
        <v>2</v>
      </c>
      <c r="BK78" s="143">
        <v>6</v>
      </c>
      <c r="BL78" s="143">
        <v>2</v>
      </c>
      <c r="BM78" s="143">
        <v>6</v>
      </c>
      <c r="BN78" s="143">
        <v>2</v>
      </c>
      <c r="BO78" s="143">
        <v>7</v>
      </c>
      <c r="BP78" s="143">
        <v>6</v>
      </c>
      <c r="BQ78" s="143">
        <v>7</v>
      </c>
      <c r="BR78" s="143">
        <v>12</v>
      </c>
      <c r="BS78" s="143">
        <v>8</v>
      </c>
      <c r="BT78" s="143">
        <v>6</v>
      </c>
      <c r="BU78" s="143">
        <v>3</v>
      </c>
      <c r="BV78" s="143">
        <v>1</v>
      </c>
      <c r="BW78" s="143">
        <v>3</v>
      </c>
      <c r="BX78" s="143">
        <v>2</v>
      </c>
      <c r="BY78" s="143">
        <v>6</v>
      </c>
      <c r="BZ78" s="143">
        <v>6</v>
      </c>
      <c r="CA78" s="143">
        <v>5</v>
      </c>
      <c r="CB78" s="143">
        <v>9</v>
      </c>
      <c r="CC78" s="143">
        <v>16</v>
      </c>
      <c r="CD78" s="143">
        <v>6</v>
      </c>
      <c r="CE78" s="143">
        <v>6</v>
      </c>
      <c r="CF78" s="143">
        <v>3</v>
      </c>
      <c r="CG78" s="143">
        <v>7</v>
      </c>
      <c r="CH78" s="143">
        <v>7</v>
      </c>
      <c r="CI78" s="143">
        <v>7</v>
      </c>
      <c r="CJ78" s="143">
        <v>8</v>
      </c>
      <c r="CK78" s="143">
        <v>6</v>
      </c>
      <c r="CL78" s="143">
        <v>6</v>
      </c>
      <c r="CM78" s="143">
        <v>14</v>
      </c>
      <c r="CN78" s="143">
        <v>11</v>
      </c>
      <c r="CO78" s="143">
        <v>7</v>
      </c>
      <c r="CP78" s="143">
        <v>8</v>
      </c>
      <c r="CQ78" s="143">
        <v>6</v>
      </c>
      <c r="CR78" s="143">
        <v>3</v>
      </c>
      <c r="CS78" s="143">
        <v>5</v>
      </c>
      <c r="CT78" s="143">
        <v>3</v>
      </c>
      <c r="CU78" s="143">
        <v>5</v>
      </c>
      <c r="CV78" s="143">
        <v>3</v>
      </c>
      <c r="CW78" s="143">
        <v>9</v>
      </c>
      <c r="CX78" s="143">
        <v>8</v>
      </c>
      <c r="CY78" s="143">
        <v>8</v>
      </c>
      <c r="CZ78" s="143">
        <v>10</v>
      </c>
      <c r="DA78" s="143">
        <v>11</v>
      </c>
      <c r="DB78" s="143">
        <v>14</v>
      </c>
      <c r="DC78" s="143">
        <v>6</v>
      </c>
      <c r="DD78" s="143">
        <v>13</v>
      </c>
      <c r="DE78" s="143">
        <v>3</v>
      </c>
      <c r="DF78" s="143">
        <v>9</v>
      </c>
      <c r="DG78" s="143">
        <v>4</v>
      </c>
      <c r="DH78" s="143">
        <v>9</v>
      </c>
      <c r="DI78" s="143">
        <v>6</v>
      </c>
      <c r="DJ78" s="143">
        <v>8</v>
      </c>
      <c r="DK78" s="143">
        <v>13</v>
      </c>
      <c r="DL78" s="143">
        <v>11</v>
      </c>
      <c r="DM78" s="143">
        <v>7</v>
      </c>
      <c r="DN78" s="143">
        <v>5</v>
      </c>
      <c r="DO78" s="143">
        <v>11</v>
      </c>
      <c r="DP78" s="143">
        <v>6</v>
      </c>
      <c r="DQ78" s="143">
        <v>13</v>
      </c>
      <c r="DR78" s="143">
        <v>3</v>
      </c>
      <c r="DS78" s="143">
        <v>6</v>
      </c>
      <c r="DT78" s="143">
        <v>9</v>
      </c>
      <c r="DU78" s="143">
        <v>10</v>
      </c>
      <c r="DV78" s="143">
        <v>4</v>
      </c>
      <c r="DW78" s="143">
        <v>9</v>
      </c>
      <c r="DX78" s="143">
        <v>14</v>
      </c>
      <c r="DY78" s="143">
        <v>10</v>
      </c>
      <c r="DZ78" s="143">
        <v>19</v>
      </c>
      <c r="EA78" s="143">
        <v>12</v>
      </c>
      <c r="EB78" s="143">
        <v>10</v>
      </c>
      <c r="EC78" s="143">
        <v>13</v>
      </c>
      <c r="ED78" s="143">
        <v>8</v>
      </c>
      <c r="EE78" s="143">
        <v>13</v>
      </c>
      <c r="EF78" s="143">
        <v>7</v>
      </c>
      <c r="EG78" s="143">
        <v>4</v>
      </c>
      <c r="EH78" s="143">
        <v>8</v>
      </c>
      <c r="EI78" s="143">
        <v>8</v>
      </c>
      <c r="EJ78" s="143">
        <v>17</v>
      </c>
      <c r="EK78" s="143">
        <v>15</v>
      </c>
      <c r="EL78" s="143">
        <v>17</v>
      </c>
      <c r="EM78" s="143">
        <v>15</v>
      </c>
      <c r="EN78" s="143">
        <v>17</v>
      </c>
      <c r="EO78" s="143">
        <v>11</v>
      </c>
      <c r="EP78" s="143">
        <v>9</v>
      </c>
      <c r="EQ78" s="143">
        <v>17</v>
      </c>
      <c r="ER78" s="143">
        <v>19</v>
      </c>
      <c r="ES78" s="143">
        <v>10</v>
      </c>
      <c r="ET78" s="143">
        <v>14</v>
      </c>
      <c r="EU78" s="143">
        <v>20</v>
      </c>
      <c r="EV78" s="143">
        <v>20</v>
      </c>
      <c r="EW78" s="143">
        <v>7</v>
      </c>
      <c r="EX78" s="143">
        <v>12</v>
      </c>
      <c r="EY78" s="143">
        <v>9</v>
      </c>
      <c r="EZ78" s="143">
        <v>24</v>
      </c>
      <c r="FA78" s="143">
        <v>18</v>
      </c>
      <c r="FB78" s="143">
        <v>21</v>
      </c>
      <c r="FC78" s="143">
        <v>31</v>
      </c>
      <c r="FD78" s="143">
        <v>23</v>
      </c>
      <c r="FE78" s="143">
        <v>41</v>
      </c>
      <c r="FF78" s="143">
        <v>26</v>
      </c>
      <c r="FG78" s="143">
        <v>30</v>
      </c>
      <c r="FH78" s="143">
        <v>43</v>
      </c>
      <c r="FI78" s="143">
        <v>59</v>
      </c>
      <c r="FJ78" s="143">
        <v>41</v>
      </c>
      <c r="FK78" s="143">
        <v>45</v>
      </c>
      <c r="FL78" s="143">
        <v>28</v>
      </c>
      <c r="FM78" s="143">
        <v>29</v>
      </c>
      <c r="FN78" s="143">
        <v>29</v>
      </c>
      <c r="FO78" s="143">
        <v>31</v>
      </c>
      <c r="FP78" s="143">
        <v>30</v>
      </c>
      <c r="FQ78" s="143">
        <v>36</v>
      </c>
      <c r="FR78" s="143">
        <v>31</v>
      </c>
      <c r="FS78" s="143">
        <v>38</v>
      </c>
      <c r="FT78" s="143">
        <v>51</v>
      </c>
      <c r="FU78" s="143">
        <v>42</v>
      </c>
      <c r="FV78" s="143">
        <v>44</v>
      </c>
      <c r="FW78" s="143">
        <v>33</v>
      </c>
      <c r="FX78" s="143">
        <v>25</v>
      </c>
      <c r="FY78" s="143">
        <v>24</v>
      </c>
      <c r="FZ78" s="143">
        <v>21</v>
      </c>
      <c r="GA78" s="143">
        <v>20</v>
      </c>
      <c r="GB78" s="143">
        <v>15</v>
      </c>
      <c r="GC78" s="143">
        <v>27</v>
      </c>
      <c r="GD78" s="143">
        <v>19</v>
      </c>
      <c r="GE78" s="143">
        <v>29</v>
      </c>
      <c r="GF78" s="143">
        <v>34</v>
      </c>
      <c r="GG78" s="143">
        <v>31</v>
      </c>
      <c r="GH78" s="143">
        <v>43</v>
      </c>
      <c r="GI78" s="143">
        <v>46</v>
      </c>
      <c r="GJ78" s="143">
        <v>24</v>
      </c>
      <c r="GK78" s="143">
        <v>39</v>
      </c>
      <c r="GL78" s="143">
        <v>26</v>
      </c>
      <c r="GM78" s="143">
        <v>30</v>
      </c>
      <c r="GN78" s="143">
        <v>32</v>
      </c>
      <c r="GO78" s="143">
        <v>21</v>
      </c>
      <c r="GP78" s="143">
        <v>22</v>
      </c>
      <c r="GQ78" s="143">
        <v>38</v>
      </c>
      <c r="GR78" s="143">
        <v>43</v>
      </c>
      <c r="GS78" s="143">
        <f t="shared" si="62"/>
        <v>32.916666666666664</v>
      </c>
      <c r="GT78" s="152"/>
      <c r="GU78" s="12" t="s">
        <v>33</v>
      </c>
      <c r="GV78" s="145" t="s">
        <v>30</v>
      </c>
      <c r="GW78" s="145">
        <f t="shared" si="63"/>
        <v>3.3333333333333335</v>
      </c>
      <c r="GX78" s="145">
        <f t="shared" si="63"/>
        <v>-0.23076923076923078</v>
      </c>
      <c r="GY78" s="145">
        <f t="shared" si="63"/>
        <v>-0.3</v>
      </c>
      <c r="GZ78" s="145">
        <f t="shared" si="63"/>
        <v>-0.42857142857142855</v>
      </c>
      <c r="HA78" s="145">
        <f t="shared" si="63"/>
        <v>0.75</v>
      </c>
      <c r="HB78" s="145">
        <f t="shared" si="63"/>
        <v>0.5714285714285714</v>
      </c>
      <c r="HC78" s="145">
        <f t="shared" si="63"/>
        <v>-0.54545454545454541</v>
      </c>
      <c r="HD78" s="145">
        <f t="shared" si="63"/>
        <v>0.6</v>
      </c>
      <c r="HE78" s="145">
        <f t="shared" si="63"/>
        <v>0.25</v>
      </c>
      <c r="HF78" s="145">
        <f t="shared" si="63"/>
        <v>-0.5</v>
      </c>
      <c r="HG78" s="145">
        <f t="shared" si="63"/>
        <v>0.6</v>
      </c>
      <c r="HH78" s="145">
        <f t="shared" si="63"/>
        <v>-0.875</v>
      </c>
      <c r="HI78" s="145">
        <f t="shared" si="63"/>
        <v>4</v>
      </c>
      <c r="HJ78" s="145">
        <f t="shared" si="63"/>
        <v>-0.6</v>
      </c>
      <c r="HK78" s="145">
        <f t="shared" si="63"/>
        <v>1.5</v>
      </c>
      <c r="HL78" s="145">
        <f t="shared" si="63"/>
        <v>-0.6</v>
      </c>
      <c r="HM78" s="145">
        <f t="shared" si="64"/>
        <v>2</v>
      </c>
      <c r="HN78" s="145">
        <f t="shared" si="64"/>
        <v>0.5</v>
      </c>
      <c r="HO78" s="145">
        <f t="shared" si="64"/>
        <v>-0.44444444444444442</v>
      </c>
      <c r="HP78" s="145">
        <f t="shared" si="64"/>
        <v>0.2</v>
      </c>
      <c r="HQ78" s="145">
        <f t="shared" si="64"/>
        <v>-0.16666666666666666</v>
      </c>
      <c r="HR78" s="145">
        <f t="shared" si="64"/>
        <v>0.8</v>
      </c>
      <c r="HS78" s="145">
        <f t="shared" si="64"/>
        <v>-0.66666666666666663</v>
      </c>
      <c r="HT78" s="145">
        <f t="shared" si="64"/>
        <v>0.33333333333333331</v>
      </c>
      <c r="HU78" s="145">
        <f t="shared" si="64"/>
        <v>0.25</v>
      </c>
      <c r="HV78" s="145">
        <f t="shared" si="64"/>
        <v>-0.2</v>
      </c>
      <c r="HW78" s="145">
        <f t="shared" si="64"/>
        <v>0.5</v>
      </c>
      <c r="HX78" s="145">
        <f t="shared" si="64"/>
        <v>0.5</v>
      </c>
      <c r="HY78" s="145">
        <f t="shared" si="64"/>
        <v>0.22222222222222221</v>
      </c>
      <c r="HZ78" s="145">
        <f t="shared" si="64"/>
        <v>-9.0909090909090912E-2</v>
      </c>
      <c r="IA78" s="145">
        <f t="shared" si="64"/>
        <v>-0.3</v>
      </c>
      <c r="IB78" s="145">
        <f t="shared" si="64"/>
        <v>0</v>
      </c>
      <c r="IC78" s="145">
        <f t="shared" si="65"/>
        <v>0.42857142857142855</v>
      </c>
      <c r="ID78" s="145">
        <f t="shared" si="65"/>
        <v>-0.5</v>
      </c>
      <c r="IE78" s="145">
        <f t="shared" si="65"/>
        <v>-0.4</v>
      </c>
      <c r="IF78" s="145">
        <f t="shared" si="65"/>
        <v>0</v>
      </c>
      <c r="IG78" s="145">
        <f t="shared" si="65"/>
        <v>0.33333333333333331</v>
      </c>
      <c r="IH78" s="145">
        <f t="shared" si="65"/>
        <v>0.5</v>
      </c>
      <c r="II78" s="145">
        <f t="shared" si="65"/>
        <v>0.33333333333333331</v>
      </c>
      <c r="IJ78" s="145">
        <f t="shared" si="65"/>
        <v>-0.25</v>
      </c>
      <c r="IK78" s="145">
        <f t="shared" si="65"/>
        <v>0</v>
      </c>
      <c r="IL78" s="145">
        <f t="shared" si="65"/>
        <v>-0.16666666666666666</v>
      </c>
      <c r="IM78" s="145">
        <f t="shared" si="65"/>
        <v>1</v>
      </c>
      <c r="IN78" s="145">
        <f t="shared" si="65"/>
        <v>-0.4</v>
      </c>
      <c r="IO78" s="145">
        <f t="shared" si="65"/>
        <v>-0.33333333333333331</v>
      </c>
      <c r="IP78" s="145">
        <f t="shared" si="65"/>
        <v>0.5</v>
      </c>
      <c r="IQ78" s="145">
        <f t="shared" si="65"/>
        <v>0</v>
      </c>
      <c r="IR78" s="145">
        <f t="shared" si="65"/>
        <v>-0.33333333333333331</v>
      </c>
      <c r="IS78" s="145">
        <f t="shared" si="66"/>
        <v>-0.75</v>
      </c>
      <c r="IT78" s="145">
        <f t="shared" si="66"/>
        <v>3</v>
      </c>
      <c r="IU78" s="145">
        <f t="shared" si="66"/>
        <v>-0.5</v>
      </c>
      <c r="IV78" s="145">
        <f t="shared" si="66"/>
        <v>0.5</v>
      </c>
      <c r="IW78" s="145">
        <f t="shared" si="66"/>
        <v>0.33333333333333331</v>
      </c>
      <c r="IX78" s="145">
        <f t="shared" si="66"/>
        <v>1.75</v>
      </c>
      <c r="IY78" s="145">
        <f t="shared" si="66"/>
        <v>-0.45454545454545453</v>
      </c>
      <c r="IZ78" s="145">
        <f t="shared" si="66"/>
        <v>0.33333333333333331</v>
      </c>
      <c r="JA78" s="145">
        <f t="shared" si="66"/>
        <v>-0.5</v>
      </c>
      <c r="JB78" s="145">
        <f t="shared" si="66"/>
        <v>0</v>
      </c>
      <c r="JC78" s="145">
        <f t="shared" si="66"/>
        <v>0.5</v>
      </c>
      <c r="JD78" s="145">
        <f t="shared" si="66"/>
        <v>-0.66666666666666663</v>
      </c>
      <c r="JE78" s="145">
        <f t="shared" si="66"/>
        <v>2</v>
      </c>
      <c r="JF78" s="145">
        <f t="shared" si="66"/>
        <v>-0.66666666666666663</v>
      </c>
      <c r="JG78" s="145">
        <f t="shared" si="66"/>
        <v>2</v>
      </c>
      <c r="JH78" s="145">
        <f t="shared" si="66"/>
        <v>-0.66666666666666663</v>
      </c>
      <c r="JI78" s="145">
        <f t="shared" si="67"/>
        <v>2.5</v>
      </c>
      <c r="JJ78" s="145">
        <f t="shared" si="67"/>
        <v>-0.14285714285714285</v>
      </c>
      <c r="JK78" s="145">
        <f t="shared" si="67"/>
        <v>0.16666666666666666</v>
      </c>
      <c r="JL78" s="145">
        <f t="shared" si="67"/>
        <v>0.7142857142857143</v>
      </c>
      <c r="JM78" s="145">
        <f t="shared" si="67"/>
        <v>-0.33333333333333331</v>
      </c>
      <c r="JN78" s="145">
        <f t="shared" si="67"/>
        <v>-0.25</v>
      </c>
      <c r="JO78" s="145">
        <f t="shared" si="67"/>
        <v>-0.5</v>
      </c>
      <c r="JP78" s="145">
        <f t="shared" si="67"/>
        <v>-0.66666666666666663</v>
      </c>
      <c r="JQ78" s="145">
        <f t="shared" si="67"/>
        <v>2</v>
      </c>
      <c r="JR78" s="145">
        <f t="shared" si="67"/>
        <v>-0.33333333333333331</v>
      </c>
      <c r="JS78" s="145">
        <f t="shared" si="67"/>
        <v>2</v>
      </c>
      <c r="JT78" s="145">
        <f t="shared" si="67"/>
        <v>0</v>
      </c>
      <c r="JU78" s="145">
        <f t="shared" si="67"/>
        <v>-0.16666666666666666</v>
      </c>
      <c r="JV78" s="145">
        <f t="shared" si="67"/>
        <v>0.8</v>
      </c>
      <c r="JW78" s="145">
        <f t="shared" si="67"/>
        <v>0.77777777777777779</v>
      </c>
      <c r="JX78" s="145">
        <f t="shared" si="67"/>
        <v>-0.625</v>
      </c>
      <c r="JY78" s="145">
        <f t="shared" si="68"/>
        <v>0</v>
      </c>
      <c r="JZ78" s="145">
        <f t="shared" si="68"/>
        <v>-0.5</v>
      </c>
      <c r="KA78" s="145">
        <f t="shared" si="68"/>
        <v>1.3333333333333333</v>
      </c>
      <c r="KB78" s="145">
        <f t="shared" si="68"/>
        <v>0</v>
      </c>
      <c r="KC78" s="145">
        <f t="shared" si="68"/>
        <v>0</v>
      </c>
      <c r="KD78" s="145">
        <f t="shared" si="68"/>
        <v>0.14285714285714285</v>
      </c>
      <c r="KE78" s="145">
        <f t="shared" si="68"/>
        <v>-0.25</v>
      </c>
      <c r="KF78" s="145">
        <f t="shared" si="68"/>
        <v>0</v>
      </c>
      <c r="KG78" s="145">
        <f t="shared" si="68"/>
        <v>1.3333333333333333</v>
      </c>
      <c r="KH78" s="145">
        <f t="shared" si="68"/>
        <v>-0.21428571428571427</v>
      </c>
      <c r="KI78" s="145">
        <f t="shared" si="68"/>
        <v>-0.36363636363636365</v>
      </c>
      <c r="KJ78" s="145">
        <f t="shared" si="68"/>
        <v>0.14285714285714285</v>
      </c>
      <c r="KK78" s="145">
        <f t="shared" si="68"/>
        <v>-0.25</v>
      </c>
      <c r="KL78" s="145">
        <f t="shared" si="68"/>
        <v>-0.5</v>
      </c>
      <c r="KM78" s="145">
        <f t="shared" si="68"/>
        <v>0.66666666666666663</v>
      </c>
      <c r="KN78" s="145">
        <f t="shared" si="68"/>
        <v>-0.4</v>
      </c>
      <c r="KO78" s="145">
        <f t="shared" si="69"/>
        <v>0.66666666666666663</v>
      </c>
      <c r="KP78" s="145">
        <f t="shared" si="69"/>
        <v>-0.4</v>
      </c>
      <c r="KQ78" s="145">
        <f t="shared" si="69"/>
        <v>2</v>
      </c>
      <c r="KR78" s="145">
        <f t="shared" si="69"/>
        <v>-0.1111111111111111</v>
      </c>
      <c r="KS78" s="145">
        <f t="shared" si="69"/>
        <v>0</v>
      </c>
      <c r="KT78" s="145">
        <f t="shared" si="69"/>
        <v>0.25</v>
      </c>
      <c r="KU78" s="145">
        <f t="shared" si="69"/>
        <v>0.1</v>
      </c>
      <c r="KV78" s="145">
        <f t="shared" si="69"/>
        <v>0.27272727272727271</v>
      </c>
      <c r="KW78" s="145">
        <f t="shared" si="69"/>
        <v>-0.5714285714285714</v>
      </c>
      <c r="KX78" s="145">
        <f t="shared" si="69"/>
        <v>1.1666666666666667</v>
      </c>
      <c r="KY78" s="145">
        <f t="shared" si="69"/>
        <v>-0.76923076923076927</v>
      </c>
      <c r="KZ78" s="145">
        <f t="shared" si="69"/>
        <v>2</v>
      </c>
      <c r="LA78" s="145">
        <f t="shared" si="69"/>
        <v>-0.55555555555555558</v>
      </c>
      <c r="LB78" s="145">
        <f t="shared" si="69"/>
        <v>1.25</v>
      </c>
      <c r="LC78" s="145">
        <f t="shared" si="69"/>
        <v>-0.33333333333333331</v>
      </c>
      <c r="LD78" s="145">
        <f t="shared" si="69"/>
        <v>0.33333333333333331</v>
      </c>
      <c r="LE78" s="145">
        <f t="shared" si="57"/>
        <v>0.625</v>
      </c>
      <c r="LF78" s="145">
        <f t="shared" si="57"/>
        <v>-0.15384615384615385</v>
      </c>
      <c r="LG78" s="145">
        <f t="shared" si="57"/>
        <v>-0.36363636363636365</v>
      </c>
      <c r="LH78" s="145">
        <f t="shared" si="57"/>
        <v>-0.2857142857142857</v>
      </c>
      <c r="LI78" s="145">
        <f t="shared" si="57"/>
        <v>1.2</v>
      </c>
      <c r="LJ78" s="145">
        <f t="shared" si="57"/>
        <v>-0.45454545454545453</v>
      </c>
      <c r="LK78" s="145">
        <f t="shared" si="57"/>
        <v>1.1666666666666667</v>
      </c>
      <c r="LL78" s="145">
        <f t="shared" si="57"/>
        <v>-0.76923076923076927</v>
      </c>
      <c r="LM78" s="145">
        <f t="shared" si="57"/>
        <v>1</v>
      </c>
      <c r="LN78" s="145">
        <f t="shared" si="57"/>
        <v>0.5</v>
      </c>
      <c r="LO78" s="145">
        <f t="shared" si="57"/>
        <v>0.1111111111111111</v>
      </c>
      <c r="LP78" s="145">
        <f t="shared" si="57"/>
        <v>-0.6</v>
      </c>
      <c r="LQ78" s="145">
        <f t="shared" si="57"/>
        <v>1.25</v>
      </c>
      <c r="LR78" s="145">
        <f t="shared" si="57"/>
        <v>0.55555555555555558</v>
      </c>
      <c r="LS78" s="145">
        <f t="shared" si="57"/>
        <v>-0.2857142857142857</v>
      </c>
      <c r="LT78" s="145">
        <f t="shared" si="57"/>
        <v>0.9</v>
      </c>
      <c r="LU78" s="145">
        <f t="shared" si="58"/>
        <v>-0.36842105263157893</v>
      </c>
      <c r="LV78" s="145">
        <f t="shared" si="58"/>
        <v>-0.16666666666666666</v>
      </c>
      <c r="LW78" s="145">
        <f t="shared" si="58"/>
        <v>0.3</v>
      </c>
      <c r="LX78" s="145">
        <f t="shared" si="58"/>
        <v>-0.38461538461538464</v>
      </c>
      <c r="LY78" s="145">
        <f t="shared" si="58"/>
        <v>0.625</v>
      </c>
      <c r="LZ78" s="145">
        <f t="shared" si="58"/>
        <v>-0.46153846153846156</v>
      </c>
      <c r="MA78" s="145">
        <f t="shared" si="58"/>
        <v>-0.42857142857142855</v>
      </c>
      <c r="MB78" s="145">
        <f t="shared" si="58"/>
        <v>1</v>
      </c>
      <c r="MC78" s="145">
        <f t="shared" si="58"/>
        <v>0</v>
      </c>
      <c r="MD78" s="145">
        <f t="shared" si="58"/>
        <v>1.125</v>
      </c>
      <c r="ME78" s="145">
        <f t="shared" si="58"/>
        <v>-0.11764705882352941</v>
      </c>
      <c r="MF78" s="145">
        <f t="shared" si="58"/>
        <v>0.13333333333333333</v>
      </c>
      <c r="MG78" s="145">
        <f t="shared" si="58"/>
        <v>-0.11764705882352941</v>
      </c>
      <c r="MH78" s="145">
        <f t="shared" si="58"/>
        <v>0.13333333333333333</v>
      </c>
      <c r="MI78" s="145">
        <f t="shared" si="58"/>
        <v>-0.35294117647058826</v>
      </c>
      <c r="MJ78" s="145">
        <f t="shared" si="58"/>
        <v>-0.18181818181818182</v>
      </c>
      <c r="MK78" s="145">
        <f t="shared" si="58"/>
        <v>0.88888888888888884</v>
      </c>
      <c r="ML78" s="145">
        <f t="shared" si="58"/>
        <v>0.11764705882352941</v>
      </c>
      <c r="MM78" s="145">
        <f t="shared" si="58"/>
        <v>-0.47368421052631576</v>
      </c>
      <c r="MN78" s="145">
        <f t="shared" si="58"/>
        <v>0.4</v>
      </c>
      <c r="MO78" s="145">
        <f t="shared" si="58"/>
        <v>0.42857142857142855</v>
      </c>
      <c r="MP78" s="145">
        <f t="shared" si="58"/>
        <v>0</v>
      </c>
      <c r="MQ78" s="145">
        <f t="shared" si="58"/>
        <v>-0.65</v>
      </c>
      <c r="MR78" s="145">
        <f t="shared" si="58"/>
        <v>0.7142857142857143</v>
      </c>
      <c r="MS78" s="145">
        <f>(EZ78-EY78)/EY78</f>
        <v>1.6666666666666667</v>
      </c>
      <c r="MT78" s="145">
        <f t="shared" si="59"/>
        <v>0.625</v>
      </c>
      <c r="MU78" s="145">
        <f t="shared" si="59"/>
        <v>-0.33333333333333331</v>
      </c>
      <c r="MV78" s="145">
        <f t="shared" si="59"/>
        <v>0.14285714285714285</v>
      </c>
      <c r="MW78" s="145">
        <f t="shared" si="59"/>
        <v>0.32258064516129031</v>
      </c>
      <c r="MX78" s="145">
        <f t="shared" si="59"/>
        <v>-0.34782608695652173</v>
      </c>
      <c r="MY78" s="145">
        <f t="shared" si="59"/>
        <v>0.43902439024390244</v>
      </c>
      <c r="MZ78" s="145">
        <f t="shared" si="59"/>
        <v>-0.57692307692307687</v>
      </c>
      <c r="NA78" s="145">
        <f t="shared" si="59"/>
        <v>0.13333333333333333</v>
      </c>
      <c r="NB78" s="145">
        <f t="shared" si="59"/>
        <v>0.30232558139534882</v>
      </c>
      <c r="NC78" s="145">
        <f t="shared" si="59"/>
        <v>0.2711864406779661</v>
      </c>
      <c r="ND78" s="145">
        <f t="shared" si="59"/>
        <v>-0.43902439024390244</v>
      </c>
      <c r="NE78" s="145">
        <f t="shared" si="59"/>
        <v>8.8888888888888892E-2</v>
      </c>
      <c r="NF78" s="145">
        <f t="shared" si="59"/>
        <v>-0.6071428571428571</v>
      </c>
      <c r="NG78" s="145">
        <f t="shared" si="59"/>
        <v>3.4482758620689655E-2</v>
      </c>
      <c r="NH78" s="145">
        <f t="shared" si="59"/>
        <v>0</v>
      </c>
      <c r="NI78" s="145">
        <f t="shared" si="59"/>
        <v>6.4516129032258063E-2</v>
      </c>
      <c r="NJ78" s="145">
        <f t="shared" si="60"/>
        <v>-3.3333333333333333E-2</v>
      </c>
      <c r="NK78" s="145">
        <f t="shared" si="60"/>
        <v>0.16666666666666666</v>
      </c>
      <c r="NL78" s="145">
        <f t="shared" si="60"/>
        <v>-0.16129032258064516</v>
      </c>
      <c r="NM78" s="145">
        <f t="shared" si="60"/>
        <v>0.18421052631578946</v>
      </c>
      <c r="NN78" s="145">
        <f t="shared" si="60"/>
        <v>0.25490196078431371</v>
      </c>
      <c r="NO78" s="145">
        <f t="shared" si="60"/>
        <v>-0.21428571428571427</v>
      </c>
      <c r="NP78" s="145">
        <f t="shared" si="60"/>
        <v>4.5454545454545456E-2</v>
      </c>
      <c r="NQ78" s="145">
        <f t="shared" si="60"/>
        <v>-0.33333333333333331</v>
      </c>
      <c r="NR78" s="145">
        <f t="shared" si="60"/>
        <v>-0.32</v>
      </c>
      <c r="NS78" s="145">
        <f t="shared" si="60"/>
        <v>-4.1666666666666664E-2</v>
      </c>
      <c r="NT78" s="145">
        <f t="shared" si="60"/>
        <v>-0.14285714285714285</v>
      </c>
      <c r="NU78" s="145">
        <f t="shared" si="60"/>
        <v>-0.05</v>
      </c>
      <c r="NV78" s="145">
        <f t="shared" si="60"/>
        <v>-0.33333333333333331</v>
      </c>
      <c r="NW78" s="145">
        <f t="shared" si="60"/>
        <v>0.44444444444444442</v>
      </c>
      <c r="NX78" s="145">
        <f t="shared" si="61"/>
        <v>-0.42105263157894735</v>
      </c>
      <c r="NY78" s="145">
        <f t="shared" si="61"/>
        <v>0.34482758620689657</v>
      </c>
      <c r="NZ78" s="145">
        <f t="shared" si="61"/>
        <v>0.14705882352941177</v>
      </c>
      <c r="OA78" s="145">
        <f t="shared" si="61"/>
        <v>-9.6774193548387094E-2</v>
      </c>
      <c r="OB78" s="145">
        <f t="shared" si="61"/>
        <v>0.27906976744186046</v>
      </c>
      <c r="OC78" s="145">
        <f t="shared" si="61"/>
        <v>6.5217391304347824E-2</v>
      </c>
      <c r="OD78" s="145">
        <f t="shared" si="61"/>
        <v>-0.91666666666666663</v>
      </c>
      <c r="OE78" s="145">
        <f t="shared" si="61"/>
        <v>0.38461538461538464</v>
      </c>
      <c r="OF78" s="145">
        <f t="shared" si="61"/>
        <v>-0.5</v>
      </c>
      <c r="OG78" s="145">
        <f t="shared" si="61"/>
        <v>0.13333333333333333</v>
      </c>
      <c r="OH78" s="145">
        <f t="shared" si="61"/>
        <v>6.25E-2</v>
      </c>
      <c r="OI78" s="145">
        <f t="shared" si="61"/>
        <v>-0.52380952380952384</v>
      </c>
      <c r="OJ78" s="145">
        <f t="shared" si="61"/>
        <v>4.5454545454545456E-2</v>
      </c>
      <c r="OK78" s="145">
        <f t="shared" si="61"/>
        <v>0.42105263157894735</v>
      </c>
      <c r="OL78" s="145">
        <f t="shared" si="61"/>
        <v>0.11627906976744186</v>
      </c>
    </row>
    <row r="79" spans="1:402" s="145" customFormat="1" ht="19.5" customHeight="1" x14ac:dyDescent="0.35">
      <c r="A79" s="12" t="s">
        <v>34</v>
      </c>
      <c r="B79" s="156">
        <v>8</v>
      </c>
      <c r="C79" s="156">
        <v>6</v>
      </c>
      <c r="D79" s="156">
        <v>5</v>
      </c>
      <c r="E79" s="156">
        <v>15</v>
      </c>
      <c r="F79" s="156">
        <f>'[1]Jan 08'!C35</f>
        <v>3</v>
      </c>
      <c r="G79" s="143">
        <f>'[1]Feb 08'!C35</f>
        <v>8</v>
      </c>
      <c r="H79" s="143">
        <f>'[1]Mar 08'!C35</f>
        <v>10</v>
      </c>
      <c r="I79" s="143">
        <v>8</v>
      </c>
      <c r="J79" s="143">
        <f>'[1]May 08'!C35</f>
        <v>12</v>
      </c>
      <c r="K79" s="143">
        <f>'[1]Jun 08'!C35</f>
        <v>25</v>
      </c>
      <c r="L79" s="143">
        <f>'[1]Jul 08'!C35</f>
        <v>13</v>
      </c>
      <c r="M79" s="143">
        <f>'[1]Aug 08'!C35</f>
        <v>11</v>
      </c>
      <c r="N79" s="143">
        <v>24</v>
      </c>
      <c r="O79" s="143">
        <v>7</v>
      </c>
      <c r="P79" s="143">
        <v>7</v>
      </c>
      <c r="Q79" s="143">
        <v>18</v>
      </c>
      <c r="R79" s="143">
        <v>6</v>
      </c>
      <c r="S79" s="143">
        <v>8</v>
      </c>
      <c r="T79" s="143">
        <v>12</v>
      </c>
      <c r="U79" s="143">
        <v>12</v>
      </c>
      <c r="V79" s="143">
        <v>14</v>
      </c>
      <c r="W79" s="143">
        <v>25</v>
      </c>
      <c r="X79" s="143">
        <v>18</v>
      </c>
      <c r="Y79" s="143">
        <v>7</v>
      </c>
      <c r="Z79" s="143">
        <v>9</v>
      </c>
      <c r="AA79" s="143">
        <v>3</v>
      </c>
      <c r="AB79" s="143">
        <v>8</v>
      </c>
      <c r="AC79" s="143">
        <v>7</v>
      </c>
      <c r="AD79" s="143">
        <v>4</v>
      </c>
      <c r="AE79" s="143">
        <v>6</v>
      </c>
      <c r="AF79" s="143">
        <v>4</v>
      </c>
      <c r="AG79" s="143">
        <v>5</v>
      </c>
      <c r="AH79" s="143">
        <v>8</v>
      </c>
      <c r="AI79" s="143">
        <v>13</v>
      </c>
      <c r="AJ79" s="143">
        <v>6</v>
      </c>
      <c r="AK79" s="143">
        <v>2</v>
      </c>
      <c r="AL79" s="143">
        <v>3</v>
      </c>
      <c r="AM79" s="143">
        <v>7</v>
      </c>
      <c r="AN79" s="143">
        <v>2</v>
      </c>
      <c r="AO79" s="143">
        <v>2</v>
      </c>
      <c r="AP79" s="143">
        <v>0</v>
      </c>
      <c r="AQ79" s="143">
        <v>1</v>
      </c>
      <c r="AR79" s="143">
        <v>0</v>
      </c>
      <c r="AS79" s="143">
        <v>4</v>
      </c>
      <c r="AT79" s="143">
        <v>12</v>
      </c>
      <c r="AU79" s="143">
        <v>6</v>
      </c>
      <c r="AV79" s="143">
        <v>4</v>
      </c>
      <c r="AW79" s="143">
        <v>3</v>
      </c>
      <c r="AX79" s="143">
        <v>2</v>
      </c>
      <c r="AY79" s="143">
        <v>1</v>
      </c>
      <c r="AZ79" s="143">
        <v>2</v>
      </c>
      <c r="BA79" s="143">
        <v>2</v>
      </c>
      <c r="BB79" s="143">
        <v>3</v>
      </c>
      <c r="BC79" s="143">
        <v>2</v>
      </c>
      <c r="BD79" s="143">
        <v>0</v>
      </c>
      <c r="BE79" s="143">
        <v>1</v>
      </c>
      <c r="BF79" s="143">
        <v>5</v>
      </c>
      <c r="BG79" s="143">
        <v>2</v>
      </c>
      <c r="BH79" s="143">
        <v>6</v>
      </c>
      <c r="BI79" s="143">
        <v>2</v>
      </c>
      <c r="BJ79" s="143">
        <v>4</v>
      </c>
      <c r="BK79" s="143">
        <v>2</v>
      </c>
      <c r="BL79" s="143">
        <v>0</v>
      </c>
      <c r="BM79" s="143">
        <v>5</v>
      </c>
      <c r="BN79" s="143">
        <v>0</v>
      </c>
      <c r="BO79" s="143">
        <v>3</v>
      </c>
      <c r="BP79" s="143">
        <v>1</v>
      </c>
      <c r="BQ79" s="143">
        <v>1</v>
      </c>
      <c r="BR79" s="143">
        <v>10</v>
      </c>
      <c r="BS79" s="143">
        <v>8</v>
      </c>
      <c r="BT79" s="143">
        <v>3</v>
      </c>
      <c r="BU79" s="143">
        <v>1</v>
      </c>
      <c r="BV79" s="143">
        <v>1</v>
      </c>
      <c r="BW79" s="143">
        <v>1</v>
      </c>
      <c r="BX79" s="143">
        <v>2</v>
      </c>
      <c r="BY79" s="143">
        <v>5</v>
      </c>
      <c r="BZ79" s="143">
        <v>1</v>
      </c>
      <c r="CA79" s="143">
        <v>3</v>
      </c>
      <c r="CB79" s="143">
        <v>2</v>
      </c>
      <c r="CC79" s="143">
        <v>1</v>
      </c>
      <c r="CD79" s="143">
        <v>11</v>
      </c>
      <c r="CE79" s="143">
        <v>11</v>
      </c>
      <c r="CF79" s="143">
        <v>7</v>
      </c>
      <c r="CG79" s="143">
        <v>4</v>
      </c>
      <c r="CH79" s="143">
        <v>3</v>
      </c>
      <c r="CI79" s="143">
        <v>3</v>
      </c>
      <c r="CJ79" s="143">
        <v>1</v>
      </c>
      <c r="CK79" s="143">
        <v>6</v>
      </c>
      <c r="CL79" s="143">
        <v>1</v>
      </c>
      <c r="CM79" s="143">
        <v>1</v>
      </c>
      <c r="CN79" s="143">
        <v>2</v>
      </c>
      <c r="CO79" s="143">
        <v>3</v>
      </c>
      <c r="CP79" s="143">
        <v>8</v>
      </c>
      <c r="CQ79" s="143">
        <v>7</v>
      </c>
      <c r="CR79" s="143">
        <v>2</v>
      </c>
      <c r="CS79" s="143">
        <v>2</v>
      </c>
      <c r="CT79" s="143">
        <v>1</v>
      </c>
      <c r="CU79" s="143">
        <v>0</v>
      </c>
      <c r="CV79" s="143">
        <v>1</v>
      </c>
      <c r="CW79" s="143">
        <v>8</v>
      </c>
      <c r="CX79" s="143">
        <v>2</v>
      </c>
      <c r="CY79" s="143">
        <v>2</v>
      </c>
      <c r="CZ79" s="143">
        <v>5</v>
      </c>
      <c r="DA79" s="143">
        <v>5</v>
      </c>
      <c r="DB79" s="143">
        <v>6</v>
      </c>
      <c r="DC79" s="143">
        <v>12</v>
      </c>
      <c r="DD79" s="143">
        <v>2</v>
      </c>
      <c r="DE79" s="143">
        <v>4</v>
      </c>
      <c r="DF79" s="143">
        <v>4</v>
      </c>
      <c r="DG79" s="143">
        <v>2</v>
      </c>
      <c r="DH79" s="143">
        <v>5</v>
      </c>
      <c r="DI79" s="143">
        <v>10</v>
      </c>
      <c r="DJ79" s="143">
        <v>2</v>
      </c>
      <c r="DK79" s="143">
        <v>1</v>
      </c>
      <c r="DL79" s="143">
        <v>2</v>
      </c>
      <c r="DM79" s="143">
        <v>5</v>
      </c>
      <c r="DN79" s="143">
        <v>10</v>
      </c>
      <c r="DO79" s="143">
        <v>10</v>
      </c>
      <c r="DP79" s="143">
        <v>7</v>
      </c>
      <c r="DQ79" s="143">
        <v>1</v>
      </c>
      <c r="DR79" s="143">
        <v>8</v>
      </c>
      <c r="DS79" s="143">
        <v>1</v>
      </c>
      <c r="DT79" s="143">
        <v>3</v>
      </c>
      <c r="DU79" s="143">
        <v>3</v>
      </c>
      <c r="DV79" s="143">
        <v>5</v>
      </c>
      <c r="DW79" s="143">
        <v>2</v>
      </c>
      <c r="DX79" s="143">
        <v>0</v>
      </c>
      <c r="DY79" s="143">
        <v>2</v>
      </c>
      <c r="DZ79" s="143">
        <v>4</v>
      </c>
      <c r="EA79" s="143">
        <v>10</v>
      </c>
      <c r="EB79" s="143">
        <v>4</v>
      </c>
      <c r="EC79" s="143">
        <v>2</v>
      </c>
      <c r="ED79" s="143">
        <v>3</v>
      </c>
      <c r="EE79" s="143">
        <v>4</v>
      </c>
      <c r="EF79" s="143">
        <v>1</v>
      </c>
      <c r="EG79" s="143">
        <v>6</v>
      </c>
      <c r="EH79" s="143">
        <v>1</v>
      </c>
      <c r="EI79" s="143">
        <v>1</v>
      </c>
      <c r="EJ79" s="143">
        <v>1</v>
      </c>
      <c r="EK79" s="143">
        <v>3</v>
      </c>
      <c r="EL79" s="143">
        <v>4</v>
      </c>
      <c r="EM79" s="143">
        <v>13</v>
      </c>
      <c r="EN79" s="143">
        <v>5</v>
      </c>
      <c r="EO79" s="143">
        <v>11</v>
      </c>
      <c r="EP79" s="143">
        <v>2</v>
      </c>
      <c r="EQ79" s="143">
        <v>0</v>
      </c>
      <c r="ER79" s="143">
        <v>1</v>
      </c>
      <c r="ES79" s="143">
        <v>4</v>
      </c>
      <c r="ET79" s="143">
        <v>5</v>
      </c>
      <c r="EU79" s="143">
        <v>4</v>
      </c>
      <c r="EV79" s="143">
        <v>5</v>
      </c>
      <c r="EW79" s="143">
        <v>0</v>
      </c>
      <c r="EX79" s="143">
        <v>4</v>
      </c>
      <c r="EY79" s="143">
        <v>2</v>
      </c>
      <c r="EZ79" s="143">
        <v>4</v>
      </c>
      <c r="FA79" s="143">
        <v>4</v>
      </c>
      <c r="FB79" s="143">
        <v>5</v>
      </c>
      <c r="FC79" s="143">
        <v>1</v>
      </c>
      <c r="FD79" s="143">
        <v>1</v>
      </c>
      <c r="FE79" s="143">
        <v>4</v>
      </c>
      <c r="FF79" s="143">
        <v>1</v>
      </c>
      <c r="FG79" s="143">
        <v>2</v>
      </c>
      <c r="FH79" s="143">
        <v>1</v>
      </c>
      <c r="FI79" s="143">
        <v>0</v>
      </c>
      <c r="FJ79" s="143">
        <v>4</v>
      </c>
      <c r="FK79" s="143">
        <v>4</v>
      </c>
      <c r="FL79" s="143">
        <v>6</v>
      </c>
      <c r="FM79" s="143">
        <v>2</v>
      </c>
      <c r="FN79" s="143">
        <v>3</v>
      </c>
      <c r="FO79" s="143">
        <v>2</v>
      </c>
      <c r="FP79" s="143">
        <v>1</v>
      </c>
      <c r="FQ79" s="143">
        <v>0</v>
      </c>
      <c r="FR79" s="143">
        <v>2</v>
      </c>
      <c r="FS79" s="143">
        <v>1</v>
      </c>
      <c r="FT79" s="143">
        <v>0</v>
      </c>
      <c r="FU79" s="143">
        <v>4</v>
      </c>
      <c r="FV79" s="143">
        <v>3</v>
      </c>
      <c r="FW79" s="143">
        <v>3</v>
      </c>
      <c r="FX79" s="143">
        <v>6</v>
      </c>
      <c r="FY79" s="143">
        <v>5</v>
      </c>
      <c r="FZ79" s="143">
        <v>2</v>
      </c>
      <c r="GA79" s="143">
        <v>2</v>
      </c>
      <c r="GB79" s="143">
        <v>3</v>
      </c>
      <c r="GC79" s="143">
        <v>9</v>
      </c>
      <c r="GD79" s="143">
        <v>4</v>
      </c>
      <c r="GE79" s="143">
        <v>3</v>
      </c>
      <c r="GF79" s="143">
        <v>6</v>
      </c>
      <c r="GG79" s="143">
        <v>5</v>
      </c>
      <c r="GH79" s="143">
        <v>6</v>
      </c>
      <c r="GI79" s="143">
        <v>6</v>
      </c>
      <c r="GJ79" s="143">
        <v>6</v>
      </c>
      <c r="GK79" s="143">
        <v>2</v>
      </c>
      <c r="GL79" s="143">
        <v>5</v>
      </c>
      <c r="GM79" s="143">
        <v>5</v>
      </c>
      <c r="GN79" s="143">
        <v>4</v>
      </c>
      <c r="GO79" s="143">
        <v>11</v>
      </c>
      <c r="GP79" s="143">
        <v>4</v>
      </c>
      <c r="GQ79" s="143">
        <v>2</v>
      </c>
      <c r="GR79" s="143">
        <v>5</v>
      </c>
      <c r="GS79" s="143">
        <f t="shared" si="62"/>
        <v>5.083333333333333</v>
      </c>
      <c r="GT79" s="152"/>
      <c r="GU79" s="12" t="s">
        <v>34</v>
      </c>
      <c r="GV79" s="145" t="s">
        <v>30</v>
      </c>
      <c r="GW79" s="145">
        <f t="shared" si="63"/>
        <v>-0.25</v>
      </c>
      <c r="GX79" s="145">
        <f t="shared" si="63"/>
        <v>-0.16666666666666666</v>
      </c>
      <c r="GY79" s="145">
        <f t="shared" si="63"/>
        <v>2</v>
      </c>
      <c r="GZ79" s="145">
        <f t="shared" si="63"/>
        <v>-0.8</v>
      </c>
      <c r="HA79" s="145">
        <f t="shared" si="63"/>
        <v>1.6666666666666667</v>
      </c>
      <c r="HB79" s="145">
        <f t="shared" si="63"/>
        <v>0.25</v>
      </c>
      <c r="HC79" s="145">
        <f t="shared" si="63"/>
        <v>-0.2</v>
      </c>
      <c r="HD79" s="145">
        <f t="shared" si="63"/>
        <v>0.5</v>
      </c>
      <c r="HE79" s="145">
        <f t="shared" si="63"/>
        <v>1.0833333333333333</v>
      </c>
      <c r="HF79" s="145">
        <f t="shared" si="63"/>
        <v>-0.48</v>
      </c>
      <c r="HG79" s="145">
        <f t="shared" si="63"/>
        <v>-0.15384615384615385</v>
      </c>
      <c r="HH79" s="145">
        <f t="shared" si="63"/>
        <v>1.1818181818181819</v>
      </c>
      <c r="HI79" s="145">
        <f t="shared" si="63"/>
        <v>-0.70833333333333337</v>
      </c>
      <c r="HJ79" s="145">
        <f t="shared" si="63"/>
        <v>0</v>
      </c>
      <c r="HK79" s="145">
        <f t="shared" si="63"/>
        <v>1.5714285714285714</v>
      </c>
      <c r="HL79" s="145">
        <f t="shared" si="63"/>
        <v>-0.66666666666666663</v>
      </c>
      <c r="HM79" s="145">
        <f t="shared" si="64"/>
        <v>0.33333333333333331</v>
      </c>
      <c r="HN79" s="145">
        <f t="shared" si="64"/>
        <v>0.5</v>
      </c>
      <c r="HO79" s="145">
        <f t="shared" si="64"/>
        <v>0</v>
      </c>
      <c r="HP79" s="145">
        <f t="shared" si="64"/>
        <v>0.16666666666666666</v>
      </c>
      <c r="HQ79" s="145">
        <f t="shared" si="64"/>
        <v>0.7857142857142857</v>
      </c>
      <c r="HR79" s="145">
        <f t="shared" si="64"/>
        <v>-0.28000000000000003</v>
      </c>
      <c r="HS79" s="145">
        <f t="shared" si="64"/>
        <v>-0.61111111111111116</v>
      </c>
      <c r="HT79" s="145">
        <f t="shared" si="64"/>
        <v>0.2857142857142857</v>
      </c>
      <c r="HU79" s="145">
        <f t="shared" si="64"/>
        <v>-0.66666666666666663</v>
      </c>
      <c r="HV79" s="145">
        <f t="shared" si="64"/>
        <v>1.6666666666666667</v>
      </c>
      <c r="HW79" s="145">
        <f t="shared" si="64"/>
        <v>-0.125</v>
      </c>
      <c r="HX79" s="145">
        <f t="shared" si="64"/>
        <v>-0.42857142857142855</v>
      </c>
      <c r="HY79" s="145">
        <f t="shared" si="64"/>
        <v>0.5</v>
      </c>
      <c r="HZ79" s="145">
        <f t="shared" si="64"/>
        <v>-0.33333333333333331</v>
      </c>
      <c r="IA79" s="145">
        <f t="shared" si="64"/>
        <v>0.25</v>
      </c>
      <c r="IB79" s="145">
        <f t="shared" si="64"/>
        <v>0.6</v>
      </c>
      <c r="IC79" s="145">
        <f t="shared" si="65"/>
        <v>0.625</v>
      </c>
      <c r="ID79" s="145">
        <f t="shared" si="65"/>
        <v>-0.53846153846153844</v>
      </c>
      <c r="IE79" s="145">
        <f t="shared" si="65"/>
        <v>-0.66666666666666663</v>
      </c>
      <c r="IF79" s="145">
        <f t="shared" si="65"/>
        <v>0.5</v>
      </c>
      <c r="IG79" s="145">
        <f t="shared" si="65"/>
        <v>1.3333333333333333</v>
      </c>
      <c r="IH79" s="145">
        <f t="shared" si="65"/>
        <v>-0.7142857142857143</v>
      </c>
      <c r="II79" s="145">
        <f t="shared" si="65"/>
        <v>0</v>
      </c>
      <c r="IJ79" s="145">
        <f t="shared" si="65"/>
        <v>-1</v>
      </c>
      <c r="IK79" s="145" t="e">
        <f t="shared" si="65"/>
        <v>#DIV/0!</v>
      </c>
      <c r="IL79" s="145">
        <f t="shared" si="65"/>
        <v>-1</v>
      </c>
      <c r="IM79" s="145" t="e">
        <f t="shared" si="65"/>
        <v>#DIV/0!</v>
      </c>
      <c r="IN79" s="145">
        <f t="shared" si="65"/>
        <v>2</v>
      </c>
      <c r="IO79" s="145">
        <f t="shared" si="65"/>
        <v>-0.5</v>
      </c>
      <c r="IP79" s="145">
        <f t="shared" si="65"/>
        <v>-0.33333333333333331</v>
      </c>
      <c r="IQ79" s="145">
        <f t="shared" si="65"/>
        <v>-0.25</v>
      </c>
      <c r="IR79" s="145">
        <f t="shared" si="65"/>
        <v>-0.33333333333333331</v>
      </c>
      <c r="IS79" s="145">
        <f t="shared" si="66"/>
        <v>-0.5</v>
      </c>
      <c r="IT79" s="145">
        <f t="shared" si="66"/>
        <v>1</v>
      </c>
      <c r="IU79" s="145">
        <f t="shared" si="66"/>
        <v>0</v>
      </c>
      <c r="IV79" s="145">
        <f t="shared" si="66"/>
        <v>0.5</v>
      </c>
      <c r="IW79" s="145">
        <f t="shared" si="66"/>
        <v>-0.33333333333333331</v>
      </c>
      <c r="IX79" s="145">
        <f t="shared" si="66"/>
        <v>-1</v>
      </c>
      <c r="IY79" s="145" t="e">
        <f t="shared" si="66"/>
        <v>#DIV/0!</v>
      </c>
      <c r="IZ79" s="145">
        <f t="shared" si="66"/>
        <v>4</v>
      </c>
      <c r="JA79" s="145">
        <f t="shared" si="66"/>
        <v>-0.6</v>
      </c>
      <c r="JB79" s="145">
        <f t="shared" si="66"/>
        <v>2</v>
      </c>
      <c r="JC79" s="145">
        <f t="shared" si="66"/>
        <v>-0.66666666666666663</v>
      </c>
      <c r="JD79" s="145">
        <f t="shared" si="66"/>
        <v>1</v>
      </c>
      <c r="JE79" s="145">
        <f t="shared" si="66"/>
        <v>-0.5</v>
      </c>
      <c r="JF79" s="145">
        <f t="shared" si="66"/>
        <v>-1</v>
      </c>
      <c r="JG79" s="145" t="e">
        <f t="shared" si="66"/>
        <v>#DIV/0!</v>
      </c>
      <c r="JH79" s="145">
        <f t="shared" si="66"/>
        <v>-1</v>
      </c>
      <c r="JI79" s="145" t="e">
        <f t="shared" si="67"/>
        <v>#DIV/0!</v>
      </c>
      <c r="JJ79" s="145">
        <f t="shared" si="67"/>
        <v>-0.66666666666666663</v>
      </c>
      <c r="JK79" s="145">
        <f t="shared" si="67"/>
        <v>0</v>
      </c>
      <c r="JL79" s="145">
        <f t="shared" si="67"/>
        <v>9</v>
      </c>
      <c r="JM79" s="145">
        <f t="shared" si="67"/>
        <v>-0.2</v>
      </c>
      <c r="JN79" s="145">
        <f t="shared" si="67"/>
        <v>-0.625</v>
      </c>
      <c r="JO79" s="145">
        <f t="shared" si="67"/>
        <v>-0.66666666666666663</v>
      </c>
      <c r="JP79" s="145">
        <f t="shared" si="67"/>
        <v>0</v>
      </c>
      <c r="JQ79" s="145">
        <f t="shared" si="67"/>
        <v>0</v>
      </c>
      <c r="JR79" s="145">
        <f t="shared" si="67"/>
        <v>1</v>
      </c>
      <c r="JS79" s="145">
        <f t="shared" si="67"/>
        <v>1.5</v>
      </c>
      <c r="JT79" s="145">
        <f t="shared" si="67"/>
        <v>-0.8</v>
      </c>
      <c r="JU79" s="145">
        <f t="shared" si="67"/>
        <v>2</v>
      </c>
      <c r="JV79" s="145">
        <f t="shared" si="67"/>
        <v>-0.33333333333333331</v>
      </c>
      <c r="JW79" s="145">
        <f t="shared" si="67"/>
        <v>-0.5</v>
      </c>
      <c r="JX79" s="145">
        <f t="shared" si="67"/>
        <v>10</v>
      </c>
      <c r="JY79" s="145">
        <f t="shared" si="68"/>
        <v>0</v>
      </c>
      <c r="JZ79" s="145">
        <f t="shared" si="68"/>
        <v>-0.36363636363636365</v>
      </c>
      <c r="KA79" s="145">
        <f t="shared" si="68"/>
        <v>-0.42857142857142855</v>
      </c>
      <c r="KB79" s="145">
        <f t="shared" si="68"/>
        <v>-0.25</v>
      </c>
      <c r="KC79" s="145">
        <f t="shared" si="68"/>
        <v>0</v>
      </c>
      <c r="KD79" s="145">
        <f t="shared" si="68"/>
        <v>-0.66666666666666663</v>
      </c>
      <c r="KE79" s="145">
        <f t="shared" si="68"/>
        <v>5</v>
      </c>
      <c r="KF79" s="145">
        <f t="shared" si="68"/>
        <v>-0.83333333333333337</v>
      </c>
      <c r="KG79" s="145">
        <f t="shared" si="68"/>
        <v>0</v>
      </c>
      <c r="KH79" s="145">
        <f t="shared" si="68"/>
        <v>1</v>
      </c>
      <c r="KI79" s="145">
        <f t="shared" si="68"/>
        <v>0.5</v>
      </c>
      <c r="KJ79" s="145">
        <f t="shared" si="68"/>
        <v>1.6666666666666667</v>
      </c>
      <c r="KK79" s="145">
        <f t="shared" si="68"/>
        <v>-0.125</v>
      </c>
      <c r="KL79" s="145">
        <f t="shared" si="68"/>
        <v>-0.7142857142857143</v>
      </c>
      <c r="KM79" s="145">
        <f t="shared" si="68"/>
        <v>0</v>
      </c>
      <c r="KN79" s="145">
        <f t="shared" si="68"/>
        <v>-0.5</v>
      </c>
      <c r="KO79" s="145">
        <f t="shared" si="69"/>
        <v>-1</v>
      </c>
      <c r="KP79" s="27" t="s">
        <v>30</v>
      </c>
      <c r="KQ79" s="27" t="s">
        <v>30</v>
      </c>
      <c r="KR79" s="27" t="s">
        <v>30</v>
      </c>
      <c r="KS79" s="27" t="s">
        <v>30</v>
      </c>
      <c r="KT79" s="145">
        <f t="shared" si="69"/>
        <v>1.5</v>
      </c>
      <c r="KU79" s="145">
        <f t="shared" si="69"/>
        <v>0</v>
      </c>
      <c r="KV79" s="145">
        <f t="shared" si="69"/>
        <v>0.2</v>
      </c>
      <c r="KW79" s="145">
        <f t="shared" si="69"/>
        <v>1</v>
      </c>
      <c r="KX79" s="145">
        <f t="shared" si="69"/>
        <v>-0.83333333333333337</v>
      </c>
      <c r="KY79" s="145">
        <f t="shared" si="69"/>
        <v>1</v>
      </c>
      <c r="KZ79" s="145">
        <f t="shared" si="69"/>
        <v>0</v>
      </c>
      <c r="LA79" s="145">
        <f t="shared" si="69"/>
        <v>-0.5</v>
      </c>
      <c r="LB79" s="145">
        <f t="shared" si="69"/>
        <v>1.5</v>
      </c>
      <c r="LC79" s="145">
        <f t="shared" si="69"/>
        <v>1</v>
      </c>
      <c r="LD79" s="145">
        <f t="shared" si="69"/>
        <v>-0.8</v>
      </c>
      <c r="LE79" s="145">
        <f t="shared" si="57"/>
        <v>-0.5</v>
      </c>
      <c r="LF79" s="145">
        <f t="shared" si="57"/>
        <v>1</v>
      </c>
      <c r="LG79" s="145">
        <f t="shared" si="57"/>
        <v>1.5</v>
      </c>
      <c r="LH79" s="145">
        <f t="shared" si="57"/>
        <v>1</v>
      </c>
      <c r="LI79" s="145">
        <f t="shared" si="57"/>
        <v>0</v>
      </c>
      <c r="LJ79" s="145">
        <f t="shared" si="57"/>
        <v>-0.3</v>
      </c>
      <c r="LK79" s="145">
        <f t="shared" si="57"/>
        <v>-0.8571428571428571</v>
      </c>
      <c r="LL79" s="145">
        <f t="shared" si="57"/>
        <v>7</v>
      </c>
      <c r="LM79" s="145">
        <f t="shared" si="57"/>
        <v>-0.875</v>
      </c>
      <c r="LN79" s="145">
        <f t="shared" si="57"/>
        <v>2</v>
      </c>
      <c r="LO79" s="145">
        <f t="shared" si="57"/>
        <v>0</v>
      </c>
      <c r="LP79" s="145">
        <f t="shared" si="57"/>
        <v>0.66666666666666663</v>
      </c>
      <c r="LQ79" s="145">
        <f t="shared" si="57"/>
        <v>-0.6</v>
      </c>
      <c r="LR79" s="145">
        <f t="shared" si="57"/>
        <v>-1</v>
      </c>
      <c r="LS79" s="145" t="e">
        <f t="shared" si="57"/>
        <v>#DIV/0!</v>
      </c>
      <c r="LT79" s="145">
        <f t="shared" si="57"/>
        <v>1</v>
      </c>
      <c r="LU79" s="145">
        <f t="shared" si="58"/>
        <v>1.5</v>
      </c>
      <c r="LV79" s="145">
        <f t="shared" si="58"/>
        <v>-0.6</v>
      </c>
      <c r="LW79" s="145">
        <f t="shared" si="58"/>
        <v>-0.5</v>
      </c>
      <c r="LX79" s="145">
        <f t="shared" si="58"/>
        <v>0.5</v>
      </c>
      <c r="LY79" s="145">
        <f t="shared" si="58"/>
        <v>0.33333333333333331</v>
      </c>
      <c r="LZ79" s="145">
        <f t="shared" si="58"/>
        <v>-0.75</v>
      </c>
      <c r="MA79" s="145">
        <f t="shared" si="58"/>
        <v>5</v>
      </c>
      <c r="MB79" s="145">
        <f t="shared" si="58"/>
        <v>-0.83333333333333337</v>
      </c>
      <c r="MC79" s="145">
        <f t="shared" si="58"/>
        <v>0</v>
      </c>
      <c r="MD79" s="145">
        <f t="shared" si="58"/>
        <v>0</v>
      </c>
      <c r="ME79" s="145">
        <f t="shared" si="58"/>
        <v>2</v>
      </c>
      <c r="MF79" s="145">
        <f t="shared" si="58"/>
        <v>0.33333333333333331</v>
      </c>
      <c r="MG79" s="145">
        <f t="shared" si="58"/>
        <v>2.25</v>
      </c>
      <c r="MH79" s="145">
        <f t="shared" si="58"/>
        <v>-0.61538461538461542</v>
      </c>
      <c r="MI79" s="145">
        <f t="shared" si="58"/>
        <v>1.2</v>
      </c>
      <c r="MJ79" s="145">
        <f t="shared" si="58"/>
        <v>-0.81818181818181823</v>
      </c>
      <c r="MK79" s="145">
        <f t="shared" si="58"/>
        <v>-1</v>
      </c>
      <c r="ML79" s="145" t="e">
        <f t="shared" si="58"/>
        <v>#DIV/0!</v>
      </c>
      <c r="MM79" s="145">
        <f t="shared" si="58"/>
        <v>3</v>
      </c>
      <c r="MN79" s="145">
        <f t="shared" si="58"/>
        <v>0.25</v>
      </c>
      <c r="MO79" s="145">
        <f t="shared" si="58"/>
        <v>-0.2</v>
      </c>
      <c r="MP79" s="145">
        <f t="shared" si="58"/>
        <v>0.25</v>
      </c>
      <c r="MQ79" s="145">
        <f t="shared" si="58"/>
        <v>-1</v>
      </c>
      <c r="MR79" s="145" t="e">
        <f t="shared" si="58"/>
        <v>#DIV/0!</v>
      </c>
      <c r="MS79" s="145">
        <f>(EZ79-EY79)/EY79</f>
        <v>1</v>
      </c>
      <c r="MT79" s="145">
        <f t="shared" si="59"/>
        <v>0.5</v>
      </c>
      <c r="MU79" s="145">
        <f t="shared" si="59"/>
        <v>0</v>
      </c>
      <c r="MV79" s="145">
        <f t="shared" si="59"/>
        <v>0.2</v>
      </c>
      <c r="MW79" s="145">
        <f t="shared" si="59"/>
        <v>-4</v>
      </c>
      <c r="MX79" s="145">
        <f t="shared" si="59"/>
        <v>0</v>
      </c>
      <c r="MY79" s="145">
        <f t="shared" si="59"/>
        <v>0.75</v>
      </c>
      <c r="MZ79" s="145">
        <f t="shared" si="59"/>
        <v>-3</v>
      </c>
      <c r="NA79" s="145">
        <f t="shared" si="59"/>
        <v>0.5</v>
      </c>
      <c r="NB79" s="145">
        <f t="shared" si="59"/>
        <v>-1</v>
      </c>
      <c r="NC79" s="145" t="e">
        <f t="shared" si="59"/>
        <v>#DIV/0!</v>
      </c>
      <c r="ND79" s="145">
        <f t="shared" si="59"/>
        <v>1</v>
      </c>
      <c r="NE79" s="145">
        <f t="shared" si="59"/>
        <v>0</v>
      </c>
      <c r="NF79" s="145">
        <f t="shared" si="59"/>
        <v>0.33333333333333331</v>
      </c>
      <c r="NG79" s="145">
        <f t="shared" si="59"/>
        <v>-2</v>
      </c>
      <c r="NH79" s="145">
        <f t="shared" si="59"/>
        <v>0.33333333333333331</v>
      </c>
      <c r="NI79" s="145">
        <f t="shared" si="59"/>
        <v>-0.5</v>
      </c>
      <c r="NJ79" s="145">
        <f t="shared" si="60"/>
        <v>-1</v>
      </c>
      <c r="NK79" s="145" t="e">
        <f t="shared" si="60"/>
        <v>#DIV/0!</v>
      </c>
      <c r="NL79" s="145">
        <f t="shared" si="60"/>
        <v>1</v>
      </c>
      <c r="NM79" s="145">
        <f t="shared" si="60"/>
        <v>-1</v>
      </c>
      <c r="NN79" s="145" t="e">
        <f t="shared" si="60"/>
        <v>#DIV/0!</v>
      </c>
      <c r="NO79" s="145">
        <f t="shared" si="60"/>
        <v>1</v>
      </c>
      <c r="NP79" s="145">
        <f t="shared" si="60"/>
        <v>-0.33333333333333331</v>
      </c>
      <c r="NQ79" s="145">
        <f t="shared" si="60"/>
        <v>0</v>
      </c>
      <c r="NR79" s="145">
        <f t="shared" si="60"/>
        <v>0.5</v>
      </c>
      <c r="NS79" s="145">
        <f t="shared" si="60"/>
        <v>-0.2</v>
      </c>
      <c r="NT79" s="145">
        <f t="shared" si="60"/>
        <v>-1.5</v>
      </c>
      <c r="NU79" s="145">
        <f t="shared" si="60"/>
        <v>0</v>
      </c>
      <c r="NV79" s="145">
        <f t="shared" si="60"/>
        <v>0.33333333333333331</v>
      </c>
      <c r="NW79" s="145">
        <f t="shared" si="60"/>
        <v>0.66666666666666663</v>
      </c>
      <c r="NX79" s="145">
        <f t="shared" si="61"/>
        <v>-1.25</v>
      </c>
      <c r="NY79" s="145">
        <f t="shared" si="61"/>
        <v>-0.33333333333333331</v>
      </c>
      <c r="NZ79" s="145">
        <f t="shared" si="61"/>
        <v>0.5</v>
      </c>
      <c r="OA79" s="145">
        <f t="shared" si="61"/>
        <v>-0.2</v>
      </c>
      <c r="OB79" s="145">
        <f t="shared" si="61"/>
        <v>0.16666666666666666</v>
      </c>
      <c r="OC79" s="145">
        <f t="shared" si="61"/>
        <v>0</v>
      </c>
      <c r="OD79" s="145">
        <f t="shared" si="61"/>
        <v>0</v>
      </c>
      <c r="OE79" s="145">
        <f t="shared" si="61"/>
        <v>-2</v>
      </c>
      <c r="OF79" s="145">
        <f t="shared" si="61"/>
        <v>0.6</v>
      </c>
      <c r="OG79" s="145">
        <f t="shared" si="61"/>
        <v>0</v>
      </c>
      <c r="OH79" s="145">
        <f t="shared" si="61"/>
        <v>-0.25</v>
      </c>
      <c r="OI79" s="145">
        <f t="shared" si="61"/>
        <v>0.63636363636363635</v>
      </c>
      <c r="OJ79" s="145">
        <f t="shared" si="61"/>
        <v>-1.75</v>
      </c>
      <c r="OK79" s="145">
        <f t="shared" si="61"/>
        <v>-1</v>
      </c>
      <c r="OL79" s="145">
        <f t="shared" si="61"/>
        <v>0.6</v>
      </c>
    </row>
    <row r="80" spans="1:402" x14ac:dyDescent="0.35">
      <c r="B80" s="23"/>
      <c r="C80" s="23"/>
      <c r="D80" s="23"/>
      <c r="E80" s="23"/>
      <c r="F80" s="23"/>
      <c r="G80" s="24"/>
      <c r="H80" s="24"/>
      <c r="I80" s="24"/>
      <c r="J80" s="24"/>
      <c r="GS80" s="24"/>
      <c r="GV80" s="25"/>
      <c r="GW80" s="25"/>
      <c r="GX80" s="25"/>
      <c r="GY80" s="25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</row>
    <row r="82" spans="1:402" ht="16" thickBot="1" x14ac:dyDescent="0.4">
      <c r="A82" s="12" t="s">
        <v>39</v>
      </c>
      <c r="GU82" s="12" t="s">
        <v>36</v>
      </c>
    </row>
    <row r="83" spans="1:402" x14ac:dyDescent="0.35">
      <c r="B83" s="13">
        <v>2007</v>
      </c>
      <c r="C83" s="13"/>
      <c r="D83" s="13"/>
      <c r="E83" s="14"/>
      <c r="F83" s="15">
        <v>2008</v>
      </c>
      <c r="G83" s="16"/>
      <c r="H83" s="17"/>
      <c r="I83" s="16"/>
      <c r="J83" s="16"/>
      <c r="K83" s="16"/>
      <c r="L83" s="18"/>
      <c r="M83" s="18"/>
      <c r="N83" s="18"/>
      <c r="O83" s="18"/>
      <c r="P83" s="18"/>
      <c r="Q83" s="18"/>
      <c r="R83" s="19">
        <v>2009</v>
      </c>
      <c r="S83" s="19"/>
      <c r="T83" s="19"/>
      <c r="U83" s="19"/>
      <c r="V83" s="16"/>
      <c r="W83" s="16"/>
      <c r="X83" s="16"/>
      <c r="Y83" s="16"/>
      <c r="Z83" s="16"/>
      <c r="AA83" s="16"/>
      <c r="AB83" s="16"/>
      <c r="AC83" s="16"/>
      <c r="AD83" s="19">
        <v>2010</v>
      </c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>
        <v>2011</v>
      </c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9">
        <v>2012</v>
      </c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9">
        <v>2013</v>
      </c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>
        <v>2014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>
        <v>2015</v>
      </c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9">
        <v>2016</v>
      </c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9">
        <v>2017</v>
      </c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>
        <v>2018</v>
      </c>
      <c r="DW83" s="19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9">
        <v>2019</v>
      </c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9">
        <v>2020</v>
      </c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9">
        <v>2021</v>
      </c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>
        <v>2022</v>
      </c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>
        <v>2023</v>
      </c>
      <c r="GE83" s="19"/>
      <c r="GF83" s="16"/>
      <c r="GG83" s="19">
        <v>2023</v>
      </c>
      <c r="GH83" s="16"/>
      <c r="GI83" s="16"/>
      <c r="GJ83" s="16"/>
      <c r="GK83" s="16"/>
      <c r="GL83" s="16"/>
      <c r="GM83" s="16"/>
      <c r="GN83" s="16"/>
      <c r="GO83" s="16"/>
      <c r="GP83" s="19">
        <v>2024</v>
      </c>
      <c r="GQ83" s="19"/>
      <c r="GR83" s="183"/>
      <c r="GS83" s="43"/>
      <c r="GV83" s="13">
        <v>2007</v>
      </c>
      <c r="GW83" s="13"/>
      <c r="GX83" s="13"/>
      <c r="GY83" s="14"/>
      <c r="GZ83" s="15">
        <v>2008</v>
      </c>
      <c r="HA83" s="16"/>
      <c r="HB83" s="17"/>
      <c r="HC83" s="16"/>
      <c r="HD83" s="16"/>
      <c r="HE83" s="16"/>
      <c r="HF83" s="18"/>
      <c r="HG83" s="18"/>
      <c r="HH83" s="18"/>
      <c r="HI83" s="18"/>
      <c r="HJ83" s="18"/>
      <c r="HK83" s="18"/>
      <c r="HL83" s="19">
        <v>2009</v>
      </c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>
        <v>2010</v>
      </c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>
        <v>2011</v>
      </c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>
        <v>2012</v>
      </c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>
        <v>2013</v>
      </c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>
        <v>2014</v>
      </c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>
        <v>2015</v>
      </c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>
        <v>2016</v>
      </c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>
        <v>2017</v>
      </c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>
        <v>2018</v>
      </c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>
        <v>2019</v>
      </c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>
        <v>2020</v>
      </c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>
        <v>2021</v>
      </c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>
        <v>2022</v>
      </c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>
        <v>2023</v>
      </c>
      <c r="NY83" s="19"/>
      <c r="NZ83" s="19"/>
      <c r="OA83" s="19">
        <v>2023</v>
      </c>
      <c r="OB83" s="19"/>
      <c r="OC83" s="19"/>
      <c r="OD83" s="19"/>
      <c r="OE83" s="19"/>
      <c r="OF83" s="19"/>
      <c r="OG83" s="19"/>
      <c r="OH83" s="19"/>
      <c r="OI83" s="19"/>
      <c r="OJ83" s="19">
        <v>2024</v>
      </c>
      <c r="OK83" s="19"/>
      <c r="OL83" s="19"/>
    </row>
    <row r="84" spans="1:402" s="2" customFormat="1" x14ac:dyDescent="0.35">
      <c r="A84" s="26"/>
      <c r="B84" s="20" t="s">
        <v>3</v>
      </c>
      <c r="C84" s="20" t="s">
        <v>4</v>
      </c>
      <c r="D84" s="20" t="s">
        <v>5</v>
      </c>
      <c r="E84" s="20" t="s">
        <v>6</v>
      </c>
      <c r="F84" s="20" t="s">
        <v>7</v>
      </c>
      <c r="G84" s="20" t="s">
        <v>8</v>
      </c>
      <c r="H84" s="20" t="s">
        <v>9</v>
      </c>
      <c r="I84" s="20" t="s">
        <v>10</v>
      </c>
      <c r="J84" s="20" t="s">
        <v>11</v>
      </c>
      <c r="K84" s="20" t="s">
        <v>12</v>
      </c>
      <c r="L84" s="20" t="s">
        <v>13</v>
      </c>
      <c r="M84" s="20" t="s">
        <v>14</v>
      </c>
      <c r="N84" s="20" t="s">
        <v>3</v>
      </c>
      <c r="O84" s="20" t="s">
        <v>4</v>
      </c>
      <c r="P84" s="20" t="s">
        <v>5</v>
      </c>
      <c r="Q84" s="20" t="s">
        <v>15</v>
      </c>
      <c r="R84" s="22" t="s">
        <v>7</v>
      </c>
      <c r="S84" s="22" t="s">
        <v>8</v>
      </c>
      <c r="T84" s="22" t="s">
        <v>9</v>
      </c>
      <c r="U84" s="22" t="s">
        <v>10</v>
      </c>
      <c r="V84" s="22" t="s">
        <v>11</v>
      </c>
      <c r="W84" s="22" t="s">
        <v>12</v>
      </c>
      <c r="X84" s="22" t="s">
        <v>13</v>
      </c>
      <c r="Y84" s="22" t="s">
        <v>14</v>
      </c>
      <c r="Z84" s="22" t="s">
        <v>16</v>
      </c>
      <c r="AA84" s="22" t="s">
        <v>4</v>
      </c>
      <c r="AB84" s="22" t="s">
        <v>5</v>
      </c>
      <c r="AC84" s="22" t="s">
        <v>6</v>
      </c>
      <c r="AD84" s="22" t="s">
        <v>17</v>
      </c>
      <c r="AE84" s="22" t="s">
        <v>8</v>
      </c>
      <c r="AF84" s="22" t="s">
        <v>18</v>
      </c>
      <c r="AG84" s="22" t="s">
        <v>10</v>
      </c>
      <c r="AH84" s="22" t="s">
        <v>11</v>
      </c>
      <c r="AI84" s="22" t="s">
        <v>12</v>
      </c>
      <c r="AJ84" s="22" t="s">
        <v>13</v>
      </c>
      <c r="AK84" s="22" t="s">
        <v>14</v>
      </c>
      <c r="AL84" s="22" t="s">
        <v>16</v>
      </c>
      <c r="AM84" s="22" t="s">
        <v>19</v>
      </c>
      <c r="AN84" s="22" t="s">
        <v>5</v>
      </c>
      <c r="AO84" s="22" t="s">
        <v>6</v>
      </c>
      <c r="AP84" s="22" t="s">
        <v>7</v>
      </c>
      <c r="AQ84" s="22" t="s">
        <v>8</v>
      </c>
      <c r="AR84" s="22" t="s">
        <v>9</v>
      </c>
      <c r="AS84" s="22" t="s">
        <v>10</v>
      </c>
      <c r="AT84" s="22" t="s">
        <v>11</v>
      </c>
      <c r="AU84" s="22" t="s">
        <v>12</v>
      </c>
      <c r="AV84" s="22" t="s">
        <v>13</v>
      </c>
      <c r="AW84" s="22" t="s">
        <v>14</v>
      </c>
      <c r="AX84" s="22" t="s">
        <v>3</v>
      </c>
      <c r="AY84" s="22" t="s">
        <v>4</v>
      </c>
      <c r="AZ84" s="22" t="s">
        <v>5</v>
      </c>
      <c r="BA84" s="22" t="s">
        <v>15</v>
      </c>
      <c r="BB84" s="22" t="s">
        <v>7</v>
      </c>
      <c r="BC84" s="22" t="s">
        <v>8</v>
      </c>
      <c r="BD84" s="22" t="s">
        <v>18</v>
      </c>
      <c r="BE84" s="22" t="s">
        <v>10</v>
      </c>
      <c r="BF84" s="22" t="s">
        <v>11</v>
      </c>
      <c r="BG84" s="22" t="s">
        <v>12</v>
      </c>
      <c r="BH84" s="22" t="s">
        <v>20</v>
      </c>
      <c r="BI84" s="22" t="s">
        <v>21</v>
      </c>
      <c r="BJ84" s="22" t="s">
        <v>16</v>
      </c>
      <c r="BK84" s="22" t="s">
        <v>19</v>
      </c>
      <c r="BL84" s="22" t="s">
        <v>5</v>
      </c>
      <c r="BM84" s="22" t="s">
        <v>15</v>
      </c>
      <c r="BN84" s="22" t="s">
        <v>7</v>
      </c>
      <c r="BO84" s="22" t="s">
        <v>8</v>
      </c>
      <c r="BP84" s="22" t="s">
        <v>9</v>
      </c>
      <c r="BQ84" s="22" t="s">
        <v>10</v>
      </c>
      <c r="BR84" s="22" t="s">
        <v>11</v>
      </c>
      <c r="BS84" s="22" t="s">
        <v>12</v>
      </c>
      <c r="BT84" s="22" t="s">
        <v>20</v>
      </c>
      <c r="BU84" s="22" t="s">
        <v>21</v>
      </c>
      <c r="BV84" s="22" t="s">
        <v>22</v>
      </c>
      <c r="BW84" s="22" t="s">
        <v>4</v>
      </c>
      <c r="BX84" s="22" t="s">
        <v>5</v>
      </c>
      <c r="BY84" s="22" t="s">
        <v>6</v>
      </c>
      <c r="BZ84" s="22" t="s">
        <v>17</v>
      </c>
      <c r="CA84" s="22" t="s">
        <v>23</v>
      </c>
      <c r="CB84" s="22" t="s">
        <v>18</v>
      </c>
      <c r="CC84" s="22" t="s">
        <v>24</v>
      </c>
      <c r="CD84" s="22" t="s">
        <v>11</v>
      </c>
      <c r="CE84" s="22" t="s">
        <v>12</v>
      </c>
      <c r="CF84" s="22" t="s">
        <v>13</v>
      </c>
      <c r="CG84" s="22" t="s">
        <v>14</v>
      </c>
      <c r="CH84" s="22" t="s">
        <v>16</v>
      </c>
      <c r="CI84" s="22" t="s">
        <v>4</v>
      </c>
      <c r="CJ84" s="22" t="s">
        <v>5</v>
      </c>
      <c r="CK84" s="22" t="s">
        <v>6</v>
      </c>
      <c r="CL84" s="22" t="s">
        <v>7</v>
      </c>
      <c r="CM84" s="22" t="s">
        <v>8</v>
      </c>
      <c r="CN84" s="22" t="s">
        <v>18</v>
      </c>
      <c r="CO84" s="22" t="s">
        <v>10</v>
      </c>
      <c r="CP84" s="22" t="s">
        <v>11</v>
      </c>
      <c r="CQ84" s="22" t="s">
        <v>12</v>
      </c>
      <c r="CR84" s="22" t="s">
        <v>20</v>
      </c>
      <c r="CS84" s="22" t="s">
        <v>14</v>
      </c>
      <c r="CT84" s="22" t="s">
        <v>22</v>
      </c>
      <c r="CU84" s="22" t="s">
        <v>19</v>
      </c>
      <c r="CV84" s="22" t="s">
        <v>5</v>
      </c>
      <c r="CW84" s="22" t="s">
        <v>15</v>
      </c>
      <c r="CX84" s="22" t="s">
        <v>7</v>
      </c>
      <c r="CY84" s="22" t="s">
        <v>23</v>
      </c>
      <c r="CZ84" s="22" t="s">
        <v>18</v>
      </c>
      <c r="DA84" s="22" t="s">
        <v>24</v>
      </c>
      <c r="DB84" s="22" t="s">
        <v>11</v>
      </c>
      <c r="DC84" s="22" t="s">
        <v>12</v>
      </c>
      <c r="DD84" s="22" t="s">
        <v>13</v>
      </c>
      <c r="DE84" s="22" t="s">
        <v>14</v>
      </c>
      <c r="DF84" s="22" t="s">
        <v>16</v>
      </c>
      <c r="DG84" s="22" t="s">
        <v>4</v>
      </c>
      <c r="DH84" s="22" t="s">
        <v>5</v>
      </c>
      <c r="DI84" s="22" t="s">
        <v>15</v>
      </c>
      <c r="DJ84" s="22" t="s">
        <v>7</v>
      </c>
      <c r="DK84" s="22" t="s">
        <v>8</v>
      </c>
      <c r="DL84" s="22" t="s">
        <v>18</v>
      </c>
      <c r="DM84" s="22" t="s">
        <v>24</v>
      </c>
      <c r="DN84" s="22" t="s">
        <v>11</v>
      </c>
      <c r="DO84" s="22" t="s">
        <v>12</v>
      </c>
      <c r="DP84" s="22" t="s">
        <v>20</v>
      </c>
      <c r="DQ84" s="22" t="s">
        <v>14</v>
      </c>
      <c r="DR84" s="22" t="s">
        <v>22</v>
      </c>
      <c r="DS84" s="22" t="s">
        <v>19</v>
      </c>
      <c r="DT84" s="22" t="s">
        <v>5</v>
      </c>
      <c r="DU84" s="22" t="s">
        <v>15</v>
      </c>
      <c r="DV84" s="22" t="s">
        <v>7</v>
      </c>
      <c r="DW84" s="22" t="s">
        <v>8</v>
      </c>
      <c r="DX84" s="22" t="s">
        <v>18</v>
      </c>
      <c r="DY84" s="22" t="s">
        <v>24</v>
      </c>
      <c r="DZ84" s="22" t="s">
        <v>11</v>
      </c>
      <c r="EA84" s="22" t="s">
        <v>12</v>
      </c>
      <c r="EB84" s="22" t="s">
        <v>20</v>
      </c>
      <c r="EC84" s="22" t="s">
        <v>21</v>
      </c>
      <c r="ED84" s="22" t="s">
        <v>22</v>
      </c>
      <c r="EE84" s="22" t="s">
        <v>4</v>
      </c>
      <c r="EF84" s="22" t="s">
        <v>5</v>
      </c>
      <c r="EG84" s="22" t="s">
        <v>15</v>
      </c>
      <c r="EH84" s="22" t="s">
        <v>17</v>
      </c>
      <c r="EI84" s="22" t="s">
        <v>23</v>
      </c>
      <c r="EJ84" s="22" t="s">
        <v>18</v>
      </c>
      <c r="EK84" s="22" t="s">
        <v>24</v>
      </c>
      <c r="EL84" s="22" t="s">
        <v>11</v>
      </c>
      <c r="EM84" s="22" t="s">
        <v>12</v>
      </c>
      <c r="EN84" s="22" t="s">
        <v>20</v>
      </c>
      <c r="EO84" s="22" t="s">
        <v>21</v>
      </c>
      <c r="EP84" s="22" t="s">
        <v>22</v>
      </c>
      <c r="EQ84" s="22" t="s">
        <v>4</v>
      </c>
      <c r="ER84" s="22" t="s">
        <v>5</v>
      </c>
      <c r="ES84" s="22" t="s">
        <v>6</v>
      </c>
      <c r="ET84" s="22" t="s">
        <v>17</v>
      </c>
      <c r="EU84" s="22" t="s">
        <v>8</v>
      </c>
      <c r="EV84" s="22" t="s">
        <v>18</v>
      </c>
      <c r="EW84" s="22" t="s">
        <v>24</v>
      </c>
      <c r="EX84" s="22" t="s">
        <v>11</v>
      </c>
      <c r="EY84" s="22" t="s">
        <v>12</v>
      </c>
      <c r="EZ84" s="22" t="s">
        <v>20</v>
      </c>
      <c r="FA84" s="22" t="s">
        <v>14</v>
      </c>
      <c r="FB84" s="22" t="s">
        <v>22</v>
      </c>
      <c r="FC84" s="22" t="s">
        <v>4</v>
      </c>
      <c r="FD84" s="22" t="s">
        <v>5</v>
      </c>
      <c r="FE84" s="22" t="s">
        <v>6</v>
      </c>
      <c r="FF84" s="22" t="s">
        <v>7</v>
      </c>
      <c r="FG84" s="22" t="s">
        <v>8</v>
      </c>
      <c r="FH84" s="22" t="s">
        <v>9</v>
      </c>
      <c r="FI84" s="22" t="s">
        <v>24</v>
      </c>
      <c r="FJ84" s="22" t="s">
        <v>11</v>
      </c>
      <c r="FK84" s="22" t="s">
        <v>12</v>
      </c>
      <c r="FL84" s="22" t="s">
        <v>20</v>
      </c>
      <c r="FM84" s="22" t="s">
        <v>14</v>
      </c>
      <c r="FN84" s="22" t="s">
        <v>22</v>
      </c>
      <c r="FO84" s="22" t="s">
        <v>19</v>
      </c>
      <c r="FP84" s="22" t="s">
        <v>27</v>
      </c>
      <c r="FQ84" s="22" t="s">
        <v>15</v>
      </c>
      <c r="FR84" s="22" t="s">
        <v>7</v>
      </c>
      <c r="FS84" s="22" t="s">
        <v>8</v>
      </c>
      <c r="FT84" s="22" t="s">
        <v>9</v>
      </c>
      <c r="FU84" s="22" t="s">
        <v>10</v>
      </c>
      <c r="FV84" s="22" t="s">
        <v>11</v>
      </c>
      <c r="FW84" s="22" t="s">
        <v>12</v>
      </c>
      <c r="FX84" s="22" t="s">
        <v>20</v>
      </c>
      <c r="FY84" s="22" t="s">
        <v>14</v>
      </c>
      <c r="FZ84" s="22" t="s">
        <v>16</v>
      </c>
      <c r="GA84" s="22" t="s">
        <v>19</v>
      </c>
      <c r="GB84" s="22" t="s">
        <v>5</v>
      </c>
      <c r="GC84" s="22" t="s">
        <v>6</v>
      </c>
      <c r="GD84" s="22" t="s">
        <v>7</v>
      </c>
      <c r="GE84" s="22" t="s">
        <v>8</v>
      </c>
      <c r="GF84" s="22" t="s">
        <v>18</v>
      </c>
      <c r="GG84" s="22" t="s">
        <v>24</v>
      </c>
      <c r="GH84" s="22" t="s">
        <v>11</v>
      </c>
      <c r="GI84" s="22" t="s">
        <v>12</v>
      </c>
      <c r="GJ84" s="22" t="s">
        <v>13</v>
      </c>
      <c r="GK84" s="22" t="s">
        <v>14</v>
      </c>
      <c r="GL84" s="22" t="s">
        <v>22</v>
      </c>
      <c r="GM84" s="22" t="s">
        <v>4</v>
      </c>
      <c r="GN84" s="22" t="s">
        <v>5</v>
      </c>
      <c r="GO84" s="22" t="s">
        <v>6</v>
      </c>
      <c r="GP84" s="22" t="s">
        <v>7</v>
      </c>
      <c r="GQ84" s="22" t="s">
        <v>8</v>
      </c>
      <c r="GR84" s="22" t="s">
        <v>18</v>
      </c>
      <c r="GV84" s="20" t="s">
        <v>3</v>
      </c>
      <c r="GW84" s="21" t="s">
        <v>4</v>
      </c>
      <c r="GX84" s="20" t="s">
        <v>5</v>
      </c>
      <c r="GY84" s="20" t="s">
        <v>6</v>
      </c>
      <c r="GZ84" s="20" t="s">
        <v>7</v>
      </c>
      <c r="HA84" s="20" t="s">
        <v>8</v>
      </c>
      <c r="HB84" s="20" t="s">
        <v>9</v>
      </c>
      <c r="HC84" s="20" t="s">
        <v>10</v>
      </c>
      <c r="HD84" s="20" t="s">
        <v>11</v>
      </c>
      <c r="HE84" s="20" t="s">
        <v>12</v>
      </c>
      <c r="HF84" s="20" t="s">
        <v>13</v>
      </c>
      <c r="HG84" s="20" t="s">
        <v>14</v>
      </c>
      <c r="HH84" s="20" t="s">
        <v>3</v>
      </c>
      <c r="HI84" s="20" t="s">
        <v>4</v>
      </c>
      <c r="HJ84" s="20" t="s">
        <v>5</v>
      </c>
      <c r="HK84" s="20" t="s">
        <v>15</v>
      </c>
      <c r="HL84" s="22" t="s">
        <v>7</v>
      </c>
      <c r="HM84" s="22" t="s">
        <v>8</v>
      </c>
      <c r="HN84" s="22" t="s">
        <v>9</v>
      </c>
      <c r="HO84" s="22" t="s">
        <v>10</v>
      </c>
      <c r="HP84" s="22" t="s">
        <v>11</v>
      </c>
      <c r="HQ84" s="22" t="s">
        <v>12</v>
      </c>
      <c r="HR84" s="22" t="s">
        <v>13</v>
      </c>
      <c r="HS84" s="22" t="s">
        <v>14</v>
      </c>
      <c r="HT84" s="22" t="s">
        <v>16</v>
      </c>
      <c r="HU84" s="22" t="s">
        <v>16</v>
      </c>
      <c r="HV84" s="22" t="s">
        <v>5</v>
      </c>
      <c r="HW84" s="22" t="s">
        <v>6</v>
      </c>
      <c r="HX84" s="22" t="s">
        <v>17</v>
      </c>
      <c r="HY84" s="22" t="s">
        <v>8</v>
      </c>
      <c r="HZ84" s="22" t="s">
        <v>18</v>
      </c>
      <c r="IA84" s="22" t="s">
        <v>10</v>
      </c>
      <c r="IB84" s="22" t="s">
        <v>11</v>
      </c>
      <c r="IC84" s="22" t="s">
        <v>12</v>
      </c>
      <c r="ID84" s="22" t="s">
        <v>13</v>
      </c>
      <c r="IE84" s="22" t="s">
        <v>26</v>
      </c>
      <c r="IF84" s="22" t="s">
        <v>16</v>
      </c>
      <c r="IG84" s="22" t="s">
        <v>4</v>
      </c>
      <c r="IH84" s="22" t="s">
        <v>5</v>
      </c>
      <c r="II84" s="22" t="s">
        <v>6</v>
      </c>
      <c r="IJ84" s="22" t="s">
        <v>7</v>
      </c>
      <c r="IK84" s="22" t="s">
        <v>8</v>
      </c>
      <c r="IL84" s="22" t="s">
        <v>18</v>
      </c>
      <c r="IM84" s="22" t="s">
        <v>10</v>
      </c>
      <c r="IN84" s="22" t="s">
        <v>11</v>
      </c>
      <c r="IO84" s="22" t="s">
        <v>12</v>
      </c>
      <c r="IP84" s="22" t="s">
        <v>13</v>
      </c>
      <c r="IQ84" s="22" t="s">
        <v>14</v>
      </c>
      <c r="IR84" s="22" t="s">
        <v>3</v>
      </c>
      <c r="IS84" s="22" t="s">
        <v>4</v>
      </c>
      <c r="IT84" s="22" t="s">
        <v>5</v>
      </c>
      <c r="IU84" s="22" t="s">
        <v>15</v>
      </c>
      <c r="IV84" s="22" t="s">
        <v>7</v>
      </c>
      <c r="IW84" s="22" t="s">
        <v>8</v>
      </c>
      <c r="IX84" s="22" t="s">
        <v>18</v>
      </c>
      <c r="IY84" s="22" t="s">
        <v>10</v>
      </c>
      <c r="IZ84" s="22" t="s">
        <v>11</v>
      </c>
      <c r="JA84" s="22" t="s">
        <v>12</v>
      </c>
      <c r="JB84" s="22" t="s">
        <v>20</v>
      </c>
      <c r="JC84" s="22" t="s">
        <v>21</v>
      </c>
      <c r="JD84" s="22" t="s">
        <v>16</v>
      </c>
      <c r="JE84" s="22" t="s">
        <v>4</v>
      </c>
      <c r="JF84" s="22" t="s">
        <v>5</v>
      </c>
      <c r="JG84" s="22" t="s">
        <v>6</v>
      </c>
      <c r="JH84" s="22" t="s">
        <v>7</v>
      </c>
      <c r="JI84" s="22" t="s">
        <v>8</v>
      </c>
      <c r="JJ84" s="22" t="s">
        <v>9</v>
      </c>
      <c r="JK84" s="22" t="s">
        <v>10</v>
      </c>
      <c r="JL84" s="22" t="s">
        <v>11</v>
      </c>
      <c r="JM84" s="22" t="s">
        <v>12</v>
      </c>
      <c r="JN84" s="22" t="s">
        <v>20</v>
      </c>
      <c r="JO84" s="22" t="s">
        <v>21</v>
      </c>
      <c r="JP84" s="22" t="s">
        <v>22</v>
      </c>
      <c r="JQ84" s="22" t="s">
        <v>4</v>
      </c>
      <c r="JR84" s="22" t="s">
        <v>5</v>
      </c>
      <c r="JS84" s="22" t="s">
        <v>6</v>
      </c>
      <c r="JT84" s="22" t="s">
        <v>17</v>
      </c>
      <c r="JU84" s="22" t="s">
        <v>23</v>
      </c>
      <c r="JV84" s="22" t="s">
        <v>18</v>
      </c>
      <c r="JW84" s="22" t="s">
        <v>24</v>
      </c>
      <c r="JX84" s="22" t="s">
        <v>11</v>
      </c>
      <c r="JY84" s="22" t="s">
        <v>12</v>
      </c>
      <c r="JZ84" s="22" t="s">
        <v>13</v>
      </c>
      <c r="KA84" s="22" t="s">
        <v>14</v>
      </c>
      <c r="KB84" s="22" t="s">
        <v>22</v>
      </c>
      <c r="KC84" s="22" t="s">
        <v>4</v>
      </c>
      <c r="KD84" s="22" t="s">
        <v>5</v>
      </c>
      <c r="KE84" s="22" t="s">
        <v>6</v>
      </c>
      <c r="KF84" s="22" t="s">
        <v>17</v>
      </c>
      <c r="KG84" s="22" t="s">
        <v>8</v>
      </c>
      <c r="KH84" s="22" t="s">
        <v>18</v>
      </c>
      <c r="KI84" s="22" t="s">
        <v>10</v>
      </c>
      <c r="KJ84" s="22" t="s">
        <v>11</v>
      </c>
      <c r="KK84" s="22" t="s">
        <v>12</v>
      </c>
      <c r="KL84" s="22" t="s">
        <v>20</v>
      </c>
      <c r="KM84" s="22" t="s">
        <v>21</v>
      </c>
      <c r="KN84" s="22" t="s">
        <v>16</v>
      </c>
      <c r="KO84" s="22" t="s">
        <v>19</v>
      </c>
      <c r="KP84" s="22" t="s">
        <v>5</v>
      </c>
      <c r="KQ84" s="22" t="s">
        <v>6</v>
      </c>
      <c r="KR84" s="22" t="s">
        <v>7</v>
      </c>
      <c r="KS84" s="22" t="s">
        <v>8</v>
      </c>
      <c r="KT84" s="22" t="s">
        <v>18</v>
      </c>
      <c r="KU84" s="22" t="s">
        <v>24</v>
      </c>
      <c r="KV84" s="22" t="s">
        <v>11</v>
      </c>
      <c r="KW84" s="22" t="s">
        <v>12</v>
      </c>
      <c r="KX84" s="22" t="s">
        <v>20</v>
      </c>
      <c r="KY84" s="22" t="s">
        <v>14</v>
      </c>
      <c r="KZ84" s="22" t="s">
        <v>16</v>
      </c>
      <c r="LA84" s="22" t="s">
        <v>4</v>
      </c>
      <c r="LB84" s="22" t="s">
        <v>27</v>
      </c>
      <c r="LC84" s="22" t="s">
        <v>6</v>
      </c>
      <c r="LD84" s="22" t="s">
        <v>7</v>
      </c>
      <c r="LE84" s="22" t="s">
        <v>8</v>
      </c>
      <c r="LF84" s="22" t="s">
        <v>9</v>
      </c>
      <c r="LG84" s="22" t="s">
        <v>24</v>
      </c>
      <c r="LH84" s="22" t="s">
        <v>11</v>
      </c>
      <c r="LI84" s="22" t="s">
        <v>12</v>
      </c>
      <c r="LJ84" s="22" t="s">
        <v>20</v>
      </c>
      <c r="LK84" s="22" t="s">
        <v>14</v>
      </c>
      <c r="LL84" s="22" t="s">
        <v>22</v>
      </c>
      <c r="LM84" s="22" t="s">
        <v>19</v>
      </c>
      <c r="LN84" s="22" t="s">
        <v>5</v>
      </c>
      <c r="LO84" s="22" t="s">
        <v>15</v>
      </c>
      <c r="LP84" s="22" t="s">
        <v>7</v>
      </c>
      <c r="LQ84" s="22" t="s">
        <v>8</v>
      </c>
      <c r="LR84" s="22" t="s">
        <v>18</v>
      </c>
      <c r="LS84" s="22" t="s">
        <v>10</v>
      </c>
      <c r="LT84" s="22" t="s">
        <v>11</v>
      </c>
      <c r="LU84" s="22" t="s">
        <v>12</v>
      </c>
      <c r="LV84" s="22" t="s">
        <v>13</v>
      </c>
      <c r="LW84" s="22" t="s">
        <v>14</v>
      </c>
      <c r="LX84" s="22" t="s">
        <v>22</v>
      </c>
      <c r="LY84" s="22" t="s">
        <v>4</v>
      </c>
      <c r="LZ84" s="22" t="s">
        <v>5</v>
      </c>
      <c r="MA84" s="22" t="s">
        <v>6</v>
      </c>
      <c r="MB84" s="22" t="s">
        <v>17</v>
      </c>
      <c r="MC84" s="22" t="s">
        <v>8</v>
      </c>
      <c r="MD84" s="22" t="s">
        <v>18</v>
      </c>
      <c r="ME84" s="22" t="s">
        <v>24</v>
      </c>
      <c r="MF84" s="22" t="s">
        <v>11</v>
      </c>
      <c r="MG84" s="22" t="s">
        <v>101</v>
      </c>
      <c r="MH84" s="22" t="s">
        <v>20</v>
      </c>
      <c r="MI84" s="22" t="s">
        <v>14</v>
      </c>
      <c r="MJ84" s="22" t="s">
        <v>22</v>
      </c>
      <c r="MK84" s="22" t="s">
        <v>4</v>
      </c>
      <c r="ML84" s="22" t="s">
        <v>5</v>
      </c>
      <c r="MM84" s="22" t="s">
        <v>6</v>
      </c>
      <c r="MN84" s="22" t="s">
        <v>17</v>
      </c>
      <c r="MO84" s="22" t="s">
        <v>8</v>
      </c>
      <c r="MP84" s="22" t="s">
        <v>18</v>
      </c>
      <c r="MQ84" s="22" t="s">
        <v>24</v>
      </c>
      <c r="MR84" s="22" t="s">
        <v>11</v>
      </c>
      <c r="MS84" s="22" t="s">
        <v>12</v>
      </c>
      <c r="MT84" s="22" t="s">
        <v>20</v>
      </c>
      <c r="MU84" s="22" t="s">
        <v>14</v>
      </c>
      <c r="MV84" s="22" t="s">
        <v>22</v>
      </c>
      <c r="MW84" s="22" t="s">
        <v>4</v>
      </c>
      <c r="MX84" s="22" t="s">
        <v>5</v>
      </c>
      <c r="MY84" s="22" t="s">
        <v>6</v>
      </c>
      <c r="MZ84" s="22" t="s">
        <v>7</v>
      </c>
      <c r="NA84" s="22" t="s">
        <v>8</v>
      </c>
      <c r="NB84" s="22" t="s">
        <v>18</v>
      </c>
      <c r="NC84" s="22" t="s">
        <v>24</v>
      </c>
      <c r="ND84" s="22" t="s">
        <v>24</v>
      </c>
      <c r="NE84" s="22" t="s">
        <v>12</v>
      </c>
      <c r="NF84" s="22" t="s">
        <v>20</v>
      </c>
      <c r="NG84" s="22" t="s">
        <v>14</v>
      </c>
      <c r="NH84" s="22" t="s">
        <v>22</v>
      </c>
      <c r="NI84" s="22" t="s">
        <v>19</v>
      </c>
      <c r="NJ84" s="22" t="s">
        <v>27</v>
      </c>
      <c r="NK84" s="22" t="s">
        <v>6</v>
      </c>
      <c r="NL84" s="22" t="s">
        <v>7</v>
      </c>
      <c r="NM84" s="22" t="s">
        <v>8</v>
      </c>
      <c r="NN84" s="22" t="s">
        <v>9</v>
      </c>
      <c r="NO84" s="22" t="s">
        <v>10</v>
      </c>
      <c r="NP84" s="22" t="s">
        <v>11</v>
      </c>
      <c r="NQ84" s="22" t="s">
        <v>12</v>
      </c>
      <c r="NR84" s="22" t="s">
        <v>20</v>
      </c>
      <c r="NS84" s="22" t="s">
        <v>14</v>
      </c>
      <c r="NT84" s="22" t="s">
        <v>16</v>
      </c>
      <c r="NU84" s="22" t="s">
        <v>19</v>
      </c>
      <c r="NV84" s="22" t="s">
        <v>5</v>
      </c>
      <c r="NW84" s="22" t="s">
        <v>6</v>
      </c>
      <c r="NX84" s="22" t="s">
        <v>7</v>
      </c>
      <c r="NY84" s="22" t="s">
        <v>8</v>
      </c>
      <c r="NZ84" s="22" t="s">
        <v>18</v>
      </c>
      <c r="OA84" s="22" t="s">
        <v>24</v>
      </c>
      <c r="OB84" s="22" t="s">
        <v>11</v>
      </c>
      <c r="OC84" s="22" t="s">
        <v>12</v>
      </c>
      <c r="OD84" s="22" t="s">
        <v>13</v>
      </c>
      <c r="OE84" s="22" t="s">
        <v>14</v>
      </c>
      <c r="OF84" s="22" t="s">
        <v>16</v>
      </c>
      <c r="OG84" s="22" t="s">
        <v>4</v>
      </c>
      <c r="OH84" s="22" t="s">
        <v>5</v>
      </c>
      <c r="OI84" s="22" t="s">
        <v>15</v>
      </c>
      <c r="OJ84" s="22" t="s">
        <v>7</v>
      </c>
      <c r="OK84" s="22" t="s">
        <v>8</v>
      </c>
      <c r="OL84" s="22" t="s">
        <v>18</v>
      </c>
    </row>
    <row r="85" spans="1:402" s="149" customFormat="1" x14ac:dyDescent="0.35">
      <c r="A85" s="147"/>
      <c r="B85" s="153">
        <f>'[1]Sept 07'!H29</f>
        <v>0.91839377181266479</v>
      </c>
      <c r="C85" s="153">
        <f>'[1]Oct 07'!H29</f>
        <v>0.95325713748959373</v>
      </c>
      <c r="D85" s="153">
        <f>'[1]Nov 07'!H29</f>
        <v>0.92814020770272754</v>
      </c>
      <c r="E85" s="153">
        <f>'[1]Dec 07'!H29</f>
        <v>0.94064602397902841</v>
      </c>
      <c r="F85" s="153">
        <f>'[1]Jan 08'!H29</f>
        <v>0.95744680851063835</v>
      </c>
      <c r="G85" s="149">
        <v>0.93100000000000005</v>
      </c>
      <c r="H85" s="149">
        <f>'[1]Mar 08'!H29</f>
        <v>0.9271822174835499</v>
      </c>
      <c r="I85" s="149">
        <v>0.89993546619323639</v>
      </c>
      <c r="J85" s="149">
        <f>'[1]May 08'!H29</f>
        <v>0.89244215418813777</v>
      </c>
      <c r="K85" s="149">
        <f>'[1]Jun 08'!H29</f>
        <v>0.88884164390730536</v>
      </c>
      <c r="L85" s="149">
        <f>'[1]Jul 08'!H29</f>
        <v>0.91685012142812661</v>
      </c>
      <c r="M85" s="149">
        <f>'[1]Aug 08'!H29</f>
        <v>0.89895875454913066</v>
      </c>
      <c r="N85" s="149">
        <v>0.89200000000000002</v>
      </c>
      <c r="O85" s="149">
        <v>0.86399999999999999</v>
      </c>
      <c r="P85" s="149">
        <v>0.77300000000000002</v>
      </c>
      <c r="Q85" s="149">
        <v>0.86899999999999999</v>
      </c>
      <c r="R85" s="149">
        <v>0.91100000000000003</v>
      </c>
      <c r="S85" s="149">
        <v>0.87</v>
      </c>
      <c r="T85" s="149">
        <v>0.77300000000000002</v>
      </c>
      <c r="U85" s="149">
        <v>0.88800000000000001</v>
      </c>
      <c r="V85" s="149">
        <v>0.874</v>
      </c>
      <c r="W85" s="149">
        <v>0.85399999999999998</v>
      </c>
      <c r="X85" s="149">
        <v>0.85799999999999998</v>
      </c>
      <c r="Y85" s="149">
        <v>0.88200000000000001</v>
      </c>
      <c r="Z85" s="149">
        <f>2215000/2536250</f>
        <v>0.87333661902414983</v>
      </c>
      <c r="AA85" s="149">
        <v>0.92200000000000004</v>
      </c>
      <c r="AB85" s="149">
        <v>0.88300000000000001</v>
      </c>
      <c r="AC85" s="149">
        <v>0.85799999999999998</v>
      </c>
      <c r="AD85" s="149">
        <v>0.86199999999999999</v>
      </c>
      <c r="AE85" s="149">
        <v>0.85699999999999998</v>
      </c>
      <c r="AF85" s="149">
        <v>0.879</v>
      </c>
      <c r="AG85" s="149">
        <v>0.89200000000000002</v>
      </c>
      <c r="AH85" s="149">
        <v>0.90100000000000002</v>
      </c>
      <c r="AI85" s="146">
        <v>0.879</v>
      </c>
      <c r="AJ85" s="146">
        <v>0.85299999999999998</v>
      </c>
      <c r="AK85" s="146">
        <v>0.90100000000000002</v>
      </c>
      <c r="AL85" s="146">
        <v>0.81100000000000005</v>
      </c>
      <c r="AM85" s="146">
        <v>0.83899999999999997</v>
      </c>
      <c r="AN85" s="146">
        <v>0.86</v>
      </c>
      <c r="AO85" s="146">
        <v>0.86899999999999999</v>
      </c>
      <c r="AP85" s="146">
        <v>0.85599999999999998</v>
      </c>
      <c r="AQ85" s="146">
        <v>0.89100000000000001</v>
      </c>
      <c r="AR85" s="146">
        <v>0.91600000000000004</v>
      </c>
      <c r="AS85" s="146">
        <v>0.91900000000000004</v>
      </c>
      <c r="AT85" s="146">
        <v>0.88400000000000001</v>
      </c>
      <c r="AU85" s="146">
        <v>0.85199999999999998</v>
      </c>
      <c r="AV85" s="146">
        <v>0.86599999999999999</v>
      </c>
      <c r="AW85" s="146">
        <f>2108333/2490817</f>
        <v>0.84644235204754104</v>
      </c>
      <c r="AX85" s="146">
        <v>0.86</v>
      </c>
      <c r="AY85" s="146">
        <v>0.89400000000000002</v>
      </c>
      <c r="AZ85" s="146">
        <v>0.86599999999999999</v>
      </c>
      <c r="BA85" s="146">
        <v>0.92</v>
      </c>
      <c r="BB85" s="146">
        <v>0.95199999999999996</v>
      </c>
      <c r="BC85" s="146">
        <v>0.94899999999999995</v>
      </c>
      <c r="BD85" s="146">
        <v>0.90200000000000002</v>
      </c>
      <c r="BE85" s="146">
        <v>0.871</v>
      </c>
      <c r="BF85" s="146">
        <v>0.91700000000000004</v>
      </c>
      <c r="BG85" s="146">
        <v>0.94399999999999995</v>
      </c>
      <c r="BH85" s="146">
        <v>0.94499999999999995</v>
      </c>
      <c r="BI85" s="146">
        <v>0.876</v>
      </c>
      <c r="BJ85" s="146">
        <v>0.76</v>
      </c>
      <c r="BK85" s="146">
        <v>0.90400000000000003</v>
      </c>
      <c r="BL85" s="146">
        <v>0.91200000000000003</v>
      </c>
      <c r="BM85" s="146">
        <v>0.88600000000000001</v>
      </c>
      <c r="BN85" s="146">
        <v>0.90800000000000003</v>
      </c>
      <c r="BO85" s="146">
        <v>0.93799999999999994</v>
      </c>
      <c r="BP85" s="146">
        <v>0.91300000000000003</v>
      </c>
      <c r="BQ85" s="146">
        <v>0.91200000000000003</v>
      </c>
      <c r="BR85" s="146">
        <v>0.92200000000000004</v>
      </c>
      <c r="BS85" s="146">
        <v>0.95</v>
      </c>
      <c r="BT85" s="146">
        <v>0.90500000000000003</v>
      </c>
      <c r="BU85" s="146">
        <v>1.046</v>
      </c>
      <c r="BV85" s="146">
        <v>0.92200000000000004</v>
      </c>
      <c r="BW85" s="146">
        <v>0.89900000000000002</v>
      </c>
      <c r="BX85" s="146">
        <v>0.88600000000000001</v>
      </c>
      <c r="BY85" s="146">
        <v>0.96099999999999997</v>
      </c>
      <c r="BZ85" s="146">
        <v>0.89600000000000002</v>
      </c>
      <c r="CA85" s="146">
        <v>0.85699999999999998</v>
      </c>
      <c r="CB85" s="146">
        <v>0.92800000000000005</v>
      </c>
      <c r="CC85" s="146">
        <v>0.90900000000000003</v>
      </c>
      <c r="CD85" s="146">
        <v>0.95399999999999996</v>
      </c>
      <c r="CE85" s="146">
        <v>0.95299999999999996</v>
      </c>
      <c r="CF85" s="146">
        <v>0.99199999999999999</v>
      </c>
      <c r="CG85" s="146">
        <v>0.92400000000000004</v>
      </c>
      <c r="CH85" s="146">
        <v>0.90600000000000003</v>
      </c>
      <c r="CI85" s="146">
        <v>0.91700000000000004</v>
      </c>
      <c r="CJ85" s="146">
        <v>0.93500000000000005</v>
      </c>
      <c r="CK85" s="146">
        <v>0.93600000000000005</v>
      </c>
      <c r="CL85" s="146">
        <v>0.96399999999999997</v>
      </c>
      <c r="CM85" s="146">
        <v>0.92400000000000004</v>
      </c>
      <c r="CN85" s="146">
        <v>0.94099999999999995</v>
      </c>
      <c r="CO85" s="146">
        <v>0.95299999999999996</v>
      </c>
      <c r="CP85" s="146">
        <v>0.94699999999999995</v>
      </c>
      <c r="CQ85" s="146">
        <v>0.92900000000000005</v>
      </c>
      <c r="CR85" s="146">
        <v>0.93400000000000005</v>
      </c>
      <c r="CS85" s="146">
        <v>0.91300000000000003</v>
      </c>
      <c r="CT85" s="146">
        <v>0.93899999999999995</v>
      </c>
      <c r="CU85" s="146">
        <v>0.90700000000000003</v>
      </c>
      <c r="CV85" s="146">
        <v>0.93</v>
      </c>
      <c r="CW85" s="146">
        <v>0.97499999999999998</v>
      </c>
      <c r="CX85" s="146">
        <v>0.91100000000000003</v>
      </c>
      <c r="CY85" s="146">
        <v>0.996</v>
      </c>
      <c r="CZ85" s="146">
        <v>0.95199999999999996</v>
      </c>
      <c r="DA85" s="146">
        <v>0.91</v>
      </c>
      <c r="DB85" s="146">
        <v>0.93899999999999995</v>
      </c>
      <c r="DC85" s="146">
        <v>0.93400000000000005</v>
      </c>
      <c r="DD85" s="146">
        <v>0.89400000000000002</v>
      </c>
      <c r="DE85" s="146">
        <v>0.89800000000000002</v>
      </c>
      <c r="DF85" s="146">
        <v>0.96099999999999997</v>
      </c>
      <c r="DG85" s="146">
        <v>0.88200000000000001</v>
      </c>
      <c r="DH85" s="146">
        <v>0.94599999999999995</v>
      </c>
      <c r="DI85" s="146">
        <v>0.94199999999999995</v>
      </c>
      <c r="DJ85" s="146">
        <v>0.94399999999999995</v>
      </c>
      <c r="DK85" s="146">
        <v>0.92900000000000005</v>
      </c>
      <c r="DL85" s="146">
        <v>0.93100000000000005</v>
      </c>
      <c r="DM85" s="146">
        <v>0.91800000000000004</v>
      </c>
      <c r="DN85" s="146">
        <v>0.90900000000000003</v>
      </c>
      <c r="DO85" s="146">
        <v>0.90600000000000003</v>
      </c>
      <c r="DP85" s="146">
        <v>0.93300000000000005</v>
      </c>
      <c r="DQ85" s="146">
        <v>0.94599999999999995</v>
      </c>
      <c r="DR85" s="146">
        <v>0.92400000000000004</v>
      </c>
      <c r="DS85" s="146">
        <v>0.93600000000000005</v>
      </c>
      <c r="DT85" s="146">
        <v>0.94399999999999995</v>
      </c>
      <c r="DU85" s="146">
        <v>0.91600000000000004</v>
      </c>
      <c r="DV85" s="146">
        <v>0.94199999999999995</v>
      </c>
      <c r="DW85" s="146">
        <v>0.95799999999999996</v>
      </c>
      <c r="DX85" s="146">
        <v>0.91400000000000003</v>
      </c>
      <c r="DY85" s="146">
        <v>0.93400000000000005</v>
      </c>
      <c r="DZ85" s="146">
        <v>0.92400000000000004</v>
      </c>
      <c r="EA85" s="146">
        <v>0.88700000000000001</v>
      </c>
      <c r="EB85" s="146">
        <v>0.91500000000000004</v>
      </c>
      <c r="EC85" s="146">
        <v>0.90600000000000003</v>
      </c>
      <c r="ED85" s="146">
        <v>0.97099999999999997</v>
      </c>
      <c r="EE85" s="146">
        <v>0.92800000000000005</v>
      </c>
      <c r="EF85" s="146">
        <v>0.94699999999999995</v>
      </c>
      <c r="EG85" s="146">
        <v>0.96899999999999997</v>
      </c>
      <c r="EH85" s="146">
        <v>0.90400000000000003</v>
      </c>
      <c r="EI85" s="146">
        <v>0.93100000000000005</v>
      </c>
      <c r="EJ85" s="146">
        <v>0.94299999999999995</v>
      </c>
      <c r="EK85" s="146">
        <v>0.93700000000000006</v>
      </c>
      <c r="EL85" s="146">
        <v>0.92200000000000004</v>
      </c>
      <c r="EM85" s="146">
        <v>0.95</v>
      </c>
      <c r="EN85" s="146">
        <v>0.93799999999999994</v>
      </c>
      <c r="EO85" s="146">
        <v>0.94399999999999995</v>
      </c>
      <c r="EP85" s="146">
        <v>0.94399999999999995</v>
      </c>
      <c r="EQ85" s="146">
        <v>0.93400000000000005</v>
      </c>
      <c r="ER85" s="146">
        <v>0.93700000000000006</v>
      </c>
      <c r="ES85" s="146">
        <v>0.95399999999999996</v>
      </c>
      <c r="ET85" s="146">
        <v>0.95799999999999996</v>
      </c>
      <c r="EU85" s="146">
        <v>0.95599999999999996</v>
      </c>
      <c r="EV85" s="146">
        <v>0.95499999999999996</v>
      </c>
      <c r="EW85" s="146">
        <v>0.92600000000000005</v>
      </c>
      <c r="EX85" s="146">
        <v>0.98699999999999999</v>
      </c>
      <c r="EY85" s="146">
        <v>0.96799999999999997</v>
      </c>
      <c r="EZ85" s="146">
        <v>0.92500000000000004</v>
      </c>
      <c r="FA85" s="146">
        <v>0.94499999999999995</v>
      </c>
      <c r="FB85" s="146">
        <v>0.95799999999999996</v>
      </c>
      <c r="FC85" s="146">
        <v>0.95399999999999996</v>
      </c>
      <c r="FD85" s="146">
        <v>0.94099999999999995</v>
      </c>
      <c r="FE85" s="146">
        <v>0.95</v>
      </c>
      <c r="FF85" s="146">
        <v>0.97099999999999997</v>
      </c>
      <c r="FG85" s="146">
        <v>0.95499999999999996</v>
      </c>
      <c r="FH85" s="146">
        <v>0.93799999999999994</v>
      </c>
      <c r="FI85" s="146">
        <v>0.997</v>
      </c>
      <c r="FJ85" s="146">
        <v>0.99</v>
      </c>
      <c r="FK85" s="146">
        <v>0.98699999999999999</v>
      </c>
      <c r="FL85" s="146">
        <v>0.96499999999999997</v>
      </c>
      <c r="FM85" s="146">
        <v>0.97599999999999998</v>
      </c>
      <c r="FN85" s="146">
        <v>0.96399999999999997</v>
      </c>
      <c r="FO85" s="146">
        <v>0.98199999999999998</v>
      </c>
      <c r="FP85" s="146">
        <v>1.0009999999999999</v>
      </c>
      <c r="FQ85" s="146">
        <v>0.97</v>
      </c>
      <c r="FR85" s="146">
        <v>0.99299999999999999</v>
      </c>
      <c r="FS85" s="146">
        <v>1.01</v>
      </c>
      <c r="FT85" s="146">
        <v>1.0229999999999999</v>
      </c>
      <c r="FU85" s="146">
        <v>1.004</v>
      </c>
      <c r="FV85" s="146">
        <v>1.006</v>
      </c>
      <c r="FW85" s="146">
        <v>0.99399999999999999</v>
      </c>
      <c r="FX85" s="146">
        <v>0.98499999999999999</v>
      </c>
      <c r="FY85" s="146">
        <v>0.95299999999999996</v>
      </c>
      <c r="FZ85" s="146">
        <v>0.96599999999999997</v>
      </c>
      <c r="GA85" s="146">
        <v>0.94599999999999995</v>
      </c>
      <c r="GB85" s="146">
        <v>0.94399999999999995</v>
      </c>
      <c r="GC85" s="146">
        <v>0.93500000000000005</v>
      </c>
      <c r="GD85" s="146">
        <v>0.94599999999999995</v>
      </c>
      <c r="GE85" s="146">
        <v>0.95599999999999996</v>
      </c>
      <c r="GF85" s="146">
        <v>0.94399999999999995</v>
      </c>
      <c r="GG85" s="146">
        <v>0.94799999999999995</v>
      </c>
      <c r="GH85" s="146">
        <v>0.95399999999999996</v>
      </c>
      <c r="GI85" s="146">
        <v>0.96399999999999997</v>
      </c>
      <c r="GJ85" s="146">
        <v>0.95399999999999996</v>
      </c>
      <c r="GK85" s="146">
        <v>0.91100000000000003</v>
      </c>
      <c r="GL85" s="146">
        <v>0.97699999999999998</v>
      </c>
      <c r="GM85" s="146">
        <v>0.95799999999999996</v>
      </c>
      <c r="GN85" s="146">
        <v>0.96099999999999997</v>
      </c>
      <c r="GO85" s="146">
        <v>0.94299999999999995</v>
      </c>
      <c r="GP85" s="146">
        <v>0.96299999999999997</v>
      </c>
      <c r="GQ85" s="146">
        <v>0.99399999999999999</v>
      </c>
      <c r="GR85" s="146">
        <v>0.96599999999999997</v>
      </c>
      <c r="GS85" s="150"/>
      <c r="GT85" s="154"/>
      <c r="GU85" s="154"/>
      <c r="GV85" s="153">
        <f>'[1]Sept 07'!H31</f>
        <v>1.1904761904761904E-2</v>
      </c>
      <c r="GW85" s="153">
        <f>'[1]Oct 07'!H31</f>
        <v>4.7445255474452552E-2</v>
      </c>
      <c r="GX85" s="153">
        <f>'[1]Nov 07'!H31</f>
        <v>3.4364261168384883E-2</v>
      </c>
      <c r="GY85" s="153">
        <f>'[1]Dec 07'!H31</f>
        <v>2.3972602739726026E-2</v>
      </c>
      <c r="GZ85" s="149">
        <f>'[1]Jan 08'!H31</f>
        <v>1.1331444759206799E-2</v>
      </c>
      <c r="HA85" s="149">
        <v>1.9E-2</v>
      </c>
      <c r="HB85" s="149">
        <f>'[1]Mar 08'!H31</f>
        <v>2.9490616621983913E-2</v>
      </c>
      <c r="HC85" s="149">
        <v>1.3192612137203167E-2</v>
      </c>
      <c r="HD85" s="149">
        <f>'[1]May 08'!H31</f>
        <v>2.2160664819944598E-2</v>
      </c>
      <c r="HE85" s="149">
        <f>'[1]Jun 08'!H31</f>
        <v>2.967359050445104E-2</v>
      </c>
      <c r="HF85" s="149">
        <f>'[1]Jul 08'!H31</f>
        <v>1.4925373134328358E-2</v>
      </c>
      <c r="HG85" s="149">
        <v>2.4E-2</v>
      </c>
      <c r="HH85" s="149">
        <v>3.0000000000000001E-3</v>
      </c>
      <c r="HI85" s="149">
        <v>1.4E-2</v>
      </c>
      <c r="HJ85" s="149">
        <v>1.9E-2</v>
      </c>
      <c r="HK85" s="149">
        <v>1.4E-2</v>
      </c>
      <c r="HL85" s="149">
        <v>5.0000000000000001E-3</v>
      </c>
      <c r="HM85" s="149">
        <v>1.7000000000000001E-2</v>
      </c>
      <c r="HN85" s="149">
        <v>2.5999999999999999E-2</v>
      </c>
      <c r="HO85" s="149">
        <v>1.4999999999999999E-2</v>
      </c>
      <c r="HP85" s="149">
        <v>1.9E-2</v>
      </c>
      <c r="HQ85" s="149">
        <v>0.02</v>
      </c>
      <c r="HR85" s="149">
        <v>3.7999999999999999E-2</v>
      </c>
      <c r="HS85" s="149">
        <v>1.4E-2</v>
      </c>
      <c r="HT85" s="149">
        <v>1.7999999999999999E-2</v>
      </c>
      <c r="HU85" s="149">
        <v>2.1000000000000001E-2</v>
      </c>
      <c r="HV85" s="149">
        <v>1.6E-2</v>
      </c>
      <c r="HW85" s="149">
        <v>2.5000000000000001E-2</v>
      </c>
      <c r="HX85" s="149">
        <v>0.04</v>
      </c>
      <c r="HY85" s="149">
        <v>0.05</v>
      </c>
      <c r="HZ85" s="149">
        <v>4.8000000000000001E-2</v>
      </c>
      <c r="IA85" s="149">
        <v>3.7999999999999999E-2</v>
      </c>
      <c r="IB85" s="149">
        <v>0.04</v>
      </c>
      <c r="IC85" s="149">
        <v>6.4000000000000001E-2</v>
      </c>
      <c r="ID85" s="149">
        <v>4.1000000000000002E-2</v>
      </c>
      <c r="IE85" s="149">
        <v>4.1000000000000002E-2</v>
      </c>
      <c r="IF85" s="149">
        <v>1.7999999999999999E-2</v>
      </c>
      <c r="IG85" s="149">
        <v>2.5000000000000001E-2</v>
      </c>
      <c r="IH85" s="149">
        <v>3.6999999999999998E-2</v>
      </c>
      <c r="II85" s="149">
        <v>0.05</v>
      </c>
      <c r="IJ85" s="149">
        <v>3.6999999999999998E-2</v>
      </c>
      <c r="IK85" s="149">
        <v>3.7999999999999999E-2</v>
      </c>
      <c r="IL85" s="149">
        <v>3.3000000000000002E-2</v>
      </c>
      <c r="IM85" s="149">
        <v>6.9000000000000006E-2</v>
      </c>
      <c r="IN85" s="149">
        <v>4.7E-2</v>
      </c>
      <c r="IO85" s="149">
        <v>3.7999999999999999E-2</v>
      </c>
      <c r="IP85" s="149">
        <v>5.7000000000000002E-2</v>
      </c>
      <c r="IQ85" s="149">
        <v>5.8000000000000003E-2</v>
      </c>
      <c r="IR85" s="149">
        <v>3.5999999999999997E-2</v>
      </c>
      <c r="IS85" s="149">
        <v>8.0000000000000002E-3</v>
      </c>
      <c r="IT85" s="149">
        <v>2.8000000000000001E-2</v>
      </c>
      <c r="IU85" s="149">
        <v>1.4E-2</v>
      </c>
      <c r="IV85" s="149">
        <v>2.1999999999999999E-2</v>
      </c>
      <c r="IW85" s="149">
        <v>2.9000000000000001E-2</v>
      </c>
      <c r="IX85" s="149">
        <v>7.5999999999999998E-2</v>
      </c>
      <c r="IY85" s="149">
        <v>4.2999999999999997E-2</v>
      </c>
      <c r="IZ85" s="149">
        <v>0.06</v>
      </c>
      <c r="JA85" s="149">
        <v>3.4000000000000002E-2</v>
      </c>
      <c r="JB85" s="149">
        <v>3.7999999999999999E-2</v>
      </c>
      <c r="JC85" s="149">
        <v>6.3E-2</v>
      </c>
      <c r="JD85" s="149">
        <v>2.1999999999999999E-2</v>
      </c>
      <c r="JE85" s="149">
        <v>5.8999999999999997E-2</v>
      </c>
      <c r="JF85" s="149">
        <v>1.7999999999999999E-2</v>
      </c>
      <c r="JG85" s="149">
        <v>5.8000000000000003E-2</v>
      </c>
      <c r="JH85" s="149">
        <v>1.9E-2</v>
      </c>
      <c r="JI85" s="149">
        <v>6.3E-2</v>
      </c>
      <c r="JJ85" s="149">
        <v>5.1999999999999998E-2</v>
      </c>
      <c r="JK85" s="149">
        <v>6.0999999999999999E-2</v>
      </c>
      <c r="JL85" s="149">
        <v>0.11</v>
      </c>
      <c r="JM85" s="149">
        <v>0.09</v>
      </c>
      <c r="JN85" s="149">
        <v>7.2999999999999995E-2</v>
      </c>
      <c r="JO85" s="149">
        <v>3.4000000000000002E-2</v>
      </c>
      <c r="JP85" s="149">
        <v>8.9999999999999993E-3</v>
      </c>
      <c r="JQ85" s="149">
        <v>2.1000000000000001E-2</v>
      </c>
      <c r="JR85" s="149">
        <v>1.2E-2</v>
      </c>
      <c r="JS85" s="149">
        <v>3.6999999999999998E-2</v>
      </c>
      <c r="JT85" s="149">
        <v>3.3000000000000002E-2</v>
      </c>
      <c r="JU85" s="149">
        <v>2.8000000000000001E-2</v>
      </c>
      <c r="JV85" s="149">
        <v>5.7000000000000002E-2</v>
      </c>
      <c r="JW85" s="149">
        <v>0.108</v>
      </c>
      <c r="JX85" s="149">
        <v>4.2999999999999997E-2</v>
      </c>
      <c r="JY85" s="149">
        <v>0.05</v>
      </c>
      <c r="JZ85" s="149">
        <v>2.7E-2</v>
      </c>
      <c r="KA85" s="149">
        <v>6.3E-2</v>
      </c>
      <c r="KB85" s="149">
        <v>5.3999999999999999E-2</v>
      </c>
      <c r="KC85" s="149">
        <v>4.4999999999999998E-2</v>
      </c>
      <c r="KD85" s="149">
        <v>4.8000000000000001E-2</v>
      </c>
      <c r="KE85" s="149">
        <v>3.5999999999999997E-2</v>
      </c>
      <c r="KF85" s="149">
        <v>3.3000000000000002E-2</v>
      </c>
      <c r="KG85" s="149">
        <v>7.5999999999999998E-2</v>
      </c>
      <c r="KH85" s="149">
        <v>6.4000000000000001E-2</v>
      </c>
      <c r="KI85" s="149">
        <v>3.9E-2</v>
      </c>
      <c r="KJ85" s="149">
        <v>4.4999999999999998E-2</v>
      </c>
      <c r="KK85" s="149">
        <v>0.04</v>
      </c>
      <c r="KL85" s="149">
        <v>2.4E-2</v>
      </c>
      <c r="KM85" s="149">
        <v>4.2000000000000003E-2</v>
      </c>
      <c r="KN85" s="149">
        <v>2.1000000000000001E-2</v>
      </c>
      <c r="KO85" s="149">
        <v>2.8000000000000001E-2</v>
      </c>
      <c r="KP85" s="149">
        <v>1.6E-2</v>
      </c>
      <c r="KQ85" s="149">
        <v>4.4999999999999998E-2</v>
      </c>
      <c r="KR85" s="149">
        <v>3.7999999999999999E-2</v>
      </c>
      <c r="KS85" s="149">
        <v>3.9E-2</v>
      </c>
      <c r="KT85" s="149">
        <v>4.8000000000000001E-2</v>
      </c>
      <c r="KU85" s="149">
        <v>5.8999999999999997E-2</v>
      </c>
      <c r="KV85" s="149">
        <v>8.3000000000000004E-2</v>
      </c>
      <c r="KW85" s="149">
        <v>4.2000000000000003E-2</v>
      </c>
      <c r="KX85" s="149">
        <v>9.8000000000000004E-2</v>
      </c>
      <c r="KY85" s="149">
        <v>2.1999999999999999E-2</v>
      </c>
      <c r="KZ85" s="149">
        <v>6.4000000000000001E-2</v>
      </c>
      <c r="LA85" s="149">
        <v>2.3E-2</v>
      </c>
      <c r="LB85" s="149">
        <v>5.0999999999999997E-2</v>
      </c>
      <c r="LC85" s="149">
        <v>3.4000000000000002E-2</v>
      </c>
      <c r="LD85" s="149">
        <v>4.2999999999999997E-2</v>
      </c>
      <c r="LE85" s="149">
        <v>6.7000000000000004E-2</v>
      </c>
      <c r="LF85" s="149">
        <v>5.2999999999999999E-2</v>
      </c>
      <c r="LG85" s="149">
        <v>3.4000000000000002E-2</v>
      </c>
      <c r="LH85" s="149">
        <v>2.5999999999999999E-2</v>
      </c>
      <c r="LI85" s="149">
        <v>7.2999999999999995E-2</v>
      </c>
      <c r="LJ85" s="149">
        <v>4.3999999999999997E-2</v>
      </c>
      <c r="LK85" s="149">
        <v>9.2999999999999999E-2</v>
      </c>
      <c r="LL85" s="149">
        <v>2.1999999999999999E-2</v>
      </c>
      <c r="LM85" s="149">
        <v>3.5999999999999997E-2</v>
      </c>
      <c r="LN85" s="149">
        <v>5.0999999999999997E-2</v>
      </c>
      <c r="LO85" s="149">
        <v>5.6000000000000001E-2</v>
      </c>
      <c r="LP85" s="149">
        <v>2.1999999999999999E-2</v>
      </c>
      <c r="LQ85" s="149">
        <v>4.4999999999999998E-2</v>
      </c>
      <c r="LR85" s="149">
        <v>6.8000000000000005E-2</v>
      </c>
      <c r="LS85" s="149">
        <v>5.1999999999999998E-2</v>
      </c>
      <c r="LT85" s="149">
        <v>0.112</v>
      </c>
      <c r="LU85" s="149">
        <v>8.3000000000000004E-2</v>
      </c>
      <c r="LV85" s="149">
        <v>8.1000000000000003E-2</v>
      </c>
      <c r="LW85" s="149">
        <v>0.114</v>
      </c>
      <c r="LX85" s="149">
        <v>6.8000000000000005E-2</v>
      </c>
      <c r="LY85" s="149">
        <v>9.8000000000000004E-2</v>
      </c>
      <c r="LZ85" s="149">
        <v>5.0999999999999997E-2</v>
      </c>
      <c r="MA85" s="149">
        <v>3.2000000000000001E-2</v>
      </c>
      <c r="MB85" s="149">
        <v>5.2999999999999999E-2</v>
      </c>
      <c r="MC85" s="149">
        <v>4.9000000000000002E-2</v>
      </c>
      <c r="MD85" s="149">
        <v>9.1999999999999998E-2</v>
      </c>
      <c r="ME85" s="149">
        <v>8.2000000000000003E-2</v>
      </c>
      <c r="MF85" s="149">
        <v>9.2999999999999999E-2</v>
      </c>
      <c r="MG85" s="145">
        <v>0.10100000000000001</v>
      </c>
      <c r="MH85" s="145">
        <v>0.13300000000000001</v>
      </c>
      <c r="MI85" s="145">
        <v>8.5999999999999993E-2</v>
      </c>
      <c r="MJ85" s="145">
        <v>6.4000000000000001E-2</v>
      </c>
      <c r="MK85" s="145">
        <v>0.106</v>
      </c>
      <c r="ML85" s="145">
        <v>0.112</v>
      </c>
      <c r="MM85" s="145">
        <v>6.0999999999999999E-2</v>
      </c>
      <c r="MN85" s="145">
        <v>9.1999999999999998E-2</v>
      </c>
      <c r="MO85" s="145">
        <v>0.13500000000000001</v>
      </c>
      <c r="MP85" s="145">
        <v>0.13100000000000001</v>
      </c>
      <c r="MQ85" s="145">
        <v>4.4999999999999998E-2</v>
      </c>
      <c r="MR85" s="145">
        <v>7.4999999999999997E-2</v>
      </c>
      <c r="MS85" s="145">
        <v>6.3E-2</v>
      </c>
      <c r="MT85" s="145">
        <v>0.17599999999999999</v>
      </c>
      <c r="MU85" s="145">
        <v>0.13300000000000001</v>
      </c>
      <c r="MV85" s="145">
        <v>0.13</v>
      </c>
      <c r="MW85" s="145">
        <v>0.20499999999999999</v>
      </c>
      <c r="MX85" s="145">
        <v>0.16900000000000001</v>
      </c>
      <c r="MY85" s="145">
        <v>0.33100000000000002</v>
      </c>
      <c r="MZ85" s="145">
        <v>0.252</v>
      </c>
      <c r="NA85" s="145">
        <v>0.30299999999999999</v>
      </c>
      <c r="NB85" s="145">
        <v>0.53800000000000003</v>
      </c>
      <c r="NC85" s="145">
        <v>0.193</v>
      </c>
      <c r="ND85" s="145">
        <v>0.53200000000000003</v>
      </c>
      <c r="NE85" s="145">
        <v>0.52900000000000003</v>
      </c>
      <c r="NF85" s="145">
        <v>0.34599999999999997</v>
      </c>
      <c r="NG85" s="145">
        <v>0.42599999999999999</v>
      </c>
      <c r="NH85" s="145">
        <v>0.46800000000000003</v>
      </c>
      <c r="NI85" s="145">
        <v>0.47</v>
      </c>
      <c r="NJ85" s="145">
        <v>0.52600000000000002</v>
      </c>
      <c r="NK85" s="145">
        <v>0.52600000000000002</v>
      </c>
      <c r="NL85" s="145">
        <v>0.81599999999999995</v>
      </c>
      <c r="NM85" s="145">
        <v>0.88400000000000001</v>
      </c>
      <c r="NN85" s="145">
        <v>1.0409999999999999</v>
      </c>
      <c r="NO85" s="145">
        <v>0.65600000000000003</v>
      </c>
      <c r="NP85" s="145">
        <v>0.48899999999999999</v>
      </c>
      <c r="NQ85" s="145">
        <v>0.29199999999999998</v>
      </c>
      <c r="NR85" s="145">
        <v>0.22900000000000001</v>
      </c>
      <c r="NS85" s="145">
        <v>0.22600000000000001</v>
      </c>
      <c r="NT85" s="145">
        <v>0.16200000000000001</v>
      </c>
      <c r="NU85" s="145">
        <v>0.13900000000000001</v>
      </c>
      <c r="NV85" s="145">
        <v>0.11600000000000001</v>
      </c>
      <c r="NW85" s="145">
        <v>0.248</v>
      </c>
      <c r="NX85" s="145">
        <v>0.13900000000000001</v>
      </c>
      <c r="NY85" s="145">
        <v>0.185</v>
      </c>
      <c r="NZ85" s="145">
        <v>0.217</v>
      </c>
      <c r="OA85" s="145">
        <v>0.20499999999999999</v>
      </c>
      <c r="OB85" s="145">
        <v>0.30099999999999999</v>
      </c>
      <c r="OC85" s="145">
        <v>0.374</v>
      </c>
      <c r="OD85" s="145">
        <v>0.19700000000000001</v>
      </c>
      <c r="OE85" s="145">
        <v>0.315</v>
      </c>
      <c r="OF85" s="145">
        <v>0.193</v>
      </c>
      <c r="OG85" s="145">
        <v>0.19</v>
      </c>
      <c r="OH85" s="145">
        <v>0.185</v>
      </c>
      <c r="OI85" s="145">
        <v>0.13800000000000001</v>
      </c>
      <c r="OJ85" s="145">
        <v>0.11</v>
      </c>
      <c r="OK85" s="145">
        <v>0.17399999999999999</v>
      </c>
      <c r="OL85" s="145">
        <v>0.21099999999999999</v>
      </c>
    </row>
    <row r="86" spans="1:402" s="149" customFormat="1" x14ac:dyDescent="0.35">
      <c r="A86" s="147"/>
      <c r="B86" s="153"/>
      <c r="C86" s="153"/>
      <c r="D86" s="153"/>
      <c r="E86" s="153"/>
      <c r="F86" s="153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6"/>
      <c r="FU86" s="146"/>
      <c r="FV86" s="146"/>
      <c r="FW86" s="146"/>
      <c r="FX86" s="146"/>
      <c r="FY86" s="146"/>
      <c r="FZ86" s="146"/>
      <c r="GA86" s="146"/>
      <c r="GB86" s="146"/>
      <c r="GC86" s="146"/>
      <c r="GD86" s="146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  <c r="GO86" s="146"/>
      <c r="GP86" s="146"/>
      <c r="GQ86" s="146"/>
      <c r="GR86" s="146"/>
      <c r="GS86" s="150"/>
      <c r="GT86" s="154"/>
      <c r="GU86" s="154"/>
      <c r="GV86" s="153"/>
      <c r="GW86" s="153"/>
      <c r="GX86" s="153"/>
      <c r="GY86" s="153"/>
    </row>
    <row r="87" spans="1:402" ht="15" thickBot="1" x14ac:dyDescent="0.4">
      <c r="A87" s="45"/>
      <c r="B87" s="5"/>
      <c r="C87" s="5"/>
      <c r="D87" s="5"/>
      <c r="E87" s="5"/>
      <c r="F87" s="5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5"/>
      <c r="GU87" s="5"/>
      <c r="GV87" s="5"/>
      <c r="GW87" s="5"/>
      <c r="GX87" s="5"/>
      <c r="GY87" s="5"/>
      <c r="GZ87" s="6"/>
      <c r="HA87" s="6"/>
      <c r="HB87" s="6"/>
      <c r="HC87" s="6"/>
      <c r="HD87" s="6"/>
      <c r="HE87" s="6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</row>
    <row r="88" spans="1:402" ht="17.5" x14ac:dyDescent="0.35">
      <c r="A88" s="8" t="s">
        <v>49</v>
      </c>
      <c r="B88" s="47"/>
      <c r="C88" s="47"/>
      <c r="D88" s="47"/>
      <c r="E88" s="47"/>
      <c r="F88" s="47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47"/>
      <c r="GU88" s="47"/>
      <c r="GV88" s="47"/>
      <c r="GW88" s="47"/>
      <c r="GX88" s="47"/>
      <c r="GY88" s="47"/>
      <c r="GZ88" s="38"/>
      <c r="HA88" s="38"/>
      <c r="HB88" s="38"/>
      <c r="HC88" s="38"/>
      <c r="HD88" s="38"/>
      <c r="HE88" s="38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 t="s">
        <v>159</v>
      </c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</row>
    <row r="89" spans="1:402" ht="16" thickBot="1" x14ac:dyDescent="0.4">
      <c r="A89" s="12" t="s">
        <v>47</v>
      </c>
      <c r="GU89" s="12" t="s">
        <v>2</v>
      </c>
    </row>
    <row r="90" spans="1:402" x14ac:dyDescent="0.35">
      <c r="B90" s="13">
        <v>2007</v>
      </c>
      <c r="C90" s="13"/>
      <c r="D90" s="13"/>
      <c r="E90" s="14"/>
      <c r="F90" s="15">
        <v>2008</v>
      </c>
      <c r="G90" s="16"/>
      <c r="H90" s="17"/>
      <c r="I90" s="16"/>
      <c r="J90" s="16"/>
      <c r="K90" s="16"/>
      <c r="L90" s="18"/>
      <c r="M90" s="18"/>
      <c r="N90" s="18"/>
      <c r="O90" s="18"/>
      <c r="P90" s="18"/>
      <c r="Q90" s="18"/>
      <c r="R90" s="19">
        <v>2009</v>
      </c>
      <c r="S90" s="19"/>
      <c r="T90" s="19"/>
      <c r="U90" s="19"/>
      <c r="V90" s="16"/>
      <c r="W90" s="16"/>
      <c r="X90" s="16"/>
      <c r="Y90" s="16"/>
      <c r="Z90" s="16"/>
      <c r="AA90" s="16"/>
      <c r="AB90" s="16"/>
      <c r="AC90" s="16"/>
      <c r="AD90" s="19">
        <v>2010</v>
      </c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>
        <v>2011</v>
      </c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9">
        <v>2012</v>
      </c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9">
        <v>2013</v>
      </c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>
        <v>2014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>
        <v>2015</v>
      </c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9">
        <v>2016</v>
      </c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9">
        <v>2017</v>
      </c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>
        <v>2018</v>
      </c>
      <c r="DW90" s="19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9">
        <v>2019</v>
      </c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9">
        <v>2020</v>
      </c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9">
        <v>2021</v>
      </c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>
        <v>2022</v>
      </c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>
        <v>2023</v>
      </c>
      <c r="GE90" s="19"/>
      <c r="GF90" s="16"/>
      <c r="GG90" s="19">
        <v>2023</v>
      </c>
      <c r="GH90" s="16"/>
      <c r="GI90" s="16"/>
      <c r="GJ90" s="16"/>
      <c r="GK90" s="16"/>
      <c r="GL90" s="16"/>
      <c r="GM90" s="16"/>
      <c r="GN90" s="16"/>
      <c r="GO90" s="16"/>
      <c r="GP90" s="19">
        <v>2024</v>
      </c>
      <c r="GQ90" s="19"/>
      <c r="GR90" s="183"/>
      <c r="GS90" s="13"/>
      <c r="GV90" s="13">
        <v>2007</v>
      </c>
      <c r="GW90" s="13"/>
      <c r="GX90" s="13"/>
      <c r="GY90" s="14"/>
      <c r="GZ90" s="15">
        <v>2008</v>
      </c>
      <c r="HA90" s="16"/>
      <c r="HB90" s="17"/>
      <c r="HC90" s="16"/>
      <c r="HD90" s="16"/>
      <c r="HE90" s="16"/>
      <c r="HF90" s="18"/>
      <c r="HG90" s="18"/>
      <c r="HH90" s="18"/>
      <c r="HI90" s="18"/>
      <c r="HJ90" s="18"/>
      <c r="HK90" s="18"/>
      <c r="HL90" s="19">
        <v>2009</v>
      </c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>
        <v>2010</v>
      </c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>
        <v>2011</v>
      </c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>
        <v>2012</v>
      </c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>
        <v>2013</v>
      </c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>
        <v>2014</v>
      </c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>
        <v>2015</v>
      </c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>
        <v>2016</v>
      </c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>
        <v>2017</v>
      </c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>
        <v>2018</v>
      </c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>
        <v>2019</v>
      </c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>
        <v>2020</v>
      </c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>
        <v>2021</v>
      </c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>
        <v>2022</v>
      </c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>
        <v>2023</v>
      </c>
      <c r="NY90" s="19"/>
      <c r="NZ90" s="19"/>
      <c r="OA90" s="19">
        <v>2023</v>
      </c>
      <c r="OB90" s="19"/>
      <c r="OC90" s="19"/>
      <c r="OD90" s="19"/>
      <c r="OE90" s="19"/>
      <c r="OF90" s="19"/>
      <c r="OG90" s="19"/>
      <c r="OH90" s="19"/>
      <c r="OI90" s="19"/>
      <c r="OJ90" s="19">
        <v>2024</v>
      </c>
      <c r="OK90" s="19"/>
      <c r="OL90" s="19"/>
    </row>
    <row r="91" spans="1:402" x14ac:dyDescent="0.35">
      <c r="B91" s="20" t="s">
        <v>3</v>
      </c>
      <c r="C91" s="21" t="s">
        <v>4</v>
      </c>
      <c r="D91" s="20" t="s">
        <v>5</v>
      </c>
      <c r="E91" s="20" t="s">
        <v>6</v>
      </c>
      <c r="F91" s="20" t="s">
        <v>7</v>
      </c>
      <c r="G91" s="20" t="s">
        <v>8</v>
      </c>
      <c r="H91" s="20" t="s">
        <v>9</v>
      </c>
      <c r="I91" s="20" t="s">
        <v>10</v>
      </c>
      <c r="J91" s="20" t="s">
        <v>11</v>
      </c>
      <c r="K91" s="20" t="s">
        <v>12</v>
      </c>
      <c r="L91" s="20" t="s">
        <v>13</v>
      </c>
      <c r="M91" s="20" t="s">
        <v>14</v>
      </c>
      <c r="N91" s="20" t="s">
        <v>3</v>
      </c>
      <c r="O91" s="20" t="s">
        <v>4</v>
      </c>
      <c r="P91" s="20" t="s">
        <v>5</v>
      </c>
      <c r="Q91" s="20" t="s">
        <v>15</v>
      </c>
      <c r="R91" s="22" t="s">
        <v>7</v>
      </c>
      <c r="S91" s="22" t="s">
        <v>8</v>
      </c>
      <c r="T91" s="22" t="s">
        <v>9</v>
      </c>
      <c r="U91" s="22" t="s">
        <v>10</v>
      </c>
      <c r="V91" s="22" t="s">
        <v>11</v>
      </c>
      <c r="W91" s="22" t="s">
        <v>12</v>
      </c>
      <c r="X91" s="22" t="s">
        <v>13</v>
      </c>
      <c r="Y91" s="22" t="s">
        <v>14</v>
      </c>
      <c r="Z91" s="22" t="s">
        <v>16</v>
      </c>
      <c r="AA91" s="22" t="s">
        <v>4</v>
      </c>
      <c r="AB91" s="22" t="s">
        <v>5</v>
      </c>
      <c r="AC91" s="22" t="s">
        <v>6</v>
      </c>
      <c r="AD91" s="22" t="s">
        <v>17</v>
      </c>
      <c r="AE91" s="22" t="s">
        <v>8</v>
      </c>
      <c r="AF91" s="22" t="s">
        <v>18</v>
      </c>
      <c r="AG91" s="22" t="s">
        <v>10</v>
      </c>
      <c r="AH91" s="22" t="s">
        <v>11</v>
      </c>
      <c r="AI91" s="22" t="s">
        <v>12</v>
      </c>
      <c r="AJ91" s="22" t="s">
        <v>13</v>
      </c>
      <c r="AK91" s="22" t="s">
        <v>14</v>
      </c>
      <c r="AL91" s="22" t="s">
        <v>16</v>
      </c>
      <c r="AM91" s="22" t="s">
        <v>19</v>
      </c>
      <c r="AN91" s="22" t="s">
        <v>5</v>
      </c>
      <c r="AO91" s="22" t="s">
        <v>6</v>
      </c>
      <c r="AP91" s="22" t="s">
        <v>7</v>
      </c>
      <c r="AQ91" s="22" t="s">
        <v>8</v>
      </c>
      <c r="AR91" s="22" t="s">
        <v>9</v>
      </c>
      <c r="AS91" s="22" t="s">
        <v>10</v>
      </c>
      <c r="AT91" s="22" t="s">
        <v>11</v>
      </c>
      <c r="AU91" s="22" t="s">
        <v>12</v>
      </c>
      <c r="AV91" s="22" t="s">
        <v>13</v>
      </c>
      <c r="AW91" s="22" t="s">
        <v>14</v>
      </c>
      <c r="AX91" s="22" t="s">
        <v>3</v>
      </c>
      <c r="AY91" s="22" t="s">
        <v>4</v>
      </c>
      <c r="AZ91" s="22" t="s">
        <v>5</v>
      </c>
      <c r="BA91" s="22" t="s">
        <v>15</v>
      </c>
      <c r="BB91" s="22" t="s">
        <v>7</v>
      </c>
      <c r="BC91" s="22" t="s">
        <v>8</v>
      </c>
      <c r="BD91" s="22" t="s">
        <v>18</v>
      </c>
      <c r="BE91" s="22" t="s">
        <v>10</v>
      </c>
      <c r="BF91" s="22" t="s">
        <v>11</v>
      </c>
      <c r="BG91" s="22" t="s">
        <v>12</v>
      </c>
      <c r="BH91" s="22" t="s">
        <v>20</v>
      </c>
      <c r="BI91" s="22" t="s">
        <v>21</v>
      </c>
      <c r="BJ91" s="22" t="s">
        <v>16</v>
      </c>
      <c r="BK91" s="22" t="s">
        <v>19</v>
      </c>
      <c r="BL91" s="22" t="s">
        <v>5</v>
      </c>
      <c r="BM91" s="22" t="s">
        <v>15</v>
      </c>
      <c r="BN91" s="22" t="s">
        <v>7</v>
      </c>
      <c r="BO91" s="22" t="s">
        <v>8</v>
      </c>
      <c r="BP91" s="22" t="s">
        <v>9</v>
      </c>
      <c r="BQ91" s="22" t="s">
        <v>10</v>
      </c>
      <c r="BR91" s="22" t="s">
        <v>11</v>
      </c>
      <c r="BS91" s="22" t="s">
        <v>12</v>
      </c>
      <c r="BT91" s="22" t="s">
        <v>20</v>
      </c>
      <c r="BU91" s="22" t="s">
        <v>21</v>
      </c>
      <c r="BV91" s="22" t="s">
        <v>22</v>
      </c>
      <c r="BW91" s="22" t="s">
        <v>4</v>
      </c>
      <c r="BX91" s="22" t="s">
        <v>5</v>
      </c>
      <c r="BY91" s="22" t="s">
        <v>6</v>
      </c>
      <c r="BZ91" s="22" t="s">
        <v>17</v>
      </c>
      <c r="CA91" s="22" t="s">
        <v>23</v>
      </c>
      <c r="CB91" s="22" t="s">
        <v>18</v>
      </c>
      <c r="CC91" s="22" t="s">
        <v>24</v>
      </c>
      <c r="CD91" s="22" t="s">
        <v>11</v>
      </c>
      <c r="CE91" s="22" t="s">
        <v>12</v>
      </c>
      <c r="CF91" s="22" t="s">
        <v>13</v>
      </c>
      <c r="CG91" s="22" t="s">
        <v>14</v>
      </c>
      <c r="CH91" s="22" t="s">
        <v>16</v>
      </c>
      <c r="CI91" s="22" t="s">
        <v>4</v>
      </c>
      <c r="CJ91" s="22" t="s">
        <v>5</v>
      </c>
      <c r="CK91" s="22" t="s">
        <v>6</v>
      </c>
      <c r="CL91" s="22" t="s">
        <v>7</v>
      </c>
      <c r="CM91" s="22" t="s">
        <v>8</v>
      </c>
      <c r="CN91" s="22" t="s">
        <v>18</v>
      </c>
      <c r="CO91" s="22" t="s">
        <v>10</v>
      </c>
      <c r="CP91" s="22" t="s">
        <v>11</v>
      </c>
      <c r="CQ91" s="22" t="s">
        <v>12</v>
      </c>
      <c r="CR91" s="22" t="s">
        <v>20</v>
      </c>
      <c r="CS91" s="22" t="s">
        <v>14</v>
      </c>
      <c r="CT91" s="22" t="s">
        <v>22</v>
      </c>
      <c r="CU91" s="22" t="s">
        <v>19</v>
      </c>
      <c r="CV91" s="22" t="s">
        <v>5</v>
      </c>
      <c r="CW91" s="22" t="s">
        <v>15</v>
      </c>
      <c r="CX91" s="22" t="s">
        <v>7</v>
      </c>
      <c r="CY91" s="22" t="s">
        <v>23</v>
      </c>
      <c r="CZ91" s="22" t="s">
        <v>18</v>
      </c>
      <c r="DA91" s="22" t="s">
        <v>24</v>
      </c>
      <c r="DB91" s="22" t="s">
        <v>11</v>
      </c>
      <c r="DC91" s="22" t="s">
        <v>12</v>
      </c>
      <c r="DD91" s="22" t="s">
        <v>13</v>
      </c>
      <c r="DE91" s="22" t="s">
        <v>14</v>
      </c>
      <c r="DF91" s="22" t="s">
        <v>16</v>
      </c>
      <c r="DG91" s="22" t="s">
        <v>4</v>
      </c>
      <c r="DH91" s="22" t="s">
        <v>5</v>
      </c>
      <c r="DI91" s="22" t="s">
        <v>15</v>
      </c>
      <c r="DJ91" s="22" t="s">
        <v>7</v>
      </c>
      <c r="DK91" s="22" t="s">
        <v>8</v>
      </c>
      <c r="DL91" s="22" t="s">
        <v>18</v>
      </c>
      <c r="DM91" s="22" t="s">
        <v>24</v>
      </c>
      <c r="DN91" s="22" t="s">
        <v>11</v>
      </c>
      <c r="DO91" s="22" t="s">
        <v>12</v>
      </c>
      <c r="DP91" s="22" t="s">
        <v>20</v>
      </c>
      <c r="DQ91" s="22" t="s">
        <v>14</v>
      </c>
      <c r="DR91" s="22" t="s">
        <v>22</v>
      </c>
      <c r="DS91" s="22" t="s">
        <v>19</v>
      </c>
      <c r="DT91" s="22" t="s">
        <v>5</v>
      </c>
      <c r="DU91" s="22" t="s">
        <v>15</v>
      </c>
      <c r="DV91" s="22" t="s">
        <v>7</v>
      </c>
      <c r="DW91" s="22" t="s">
        <v>8</v>
      </c>
      <c r="DX91" s="22" t="s">
        <v>18</v>
      </c>
      <c r="DY91" s="22" t="s">
        <v>24</v>
      </c>
      <c r="DZ91" s="22" t="s">
        <v>11</v>
      </c>
      <c r="EA91" s="22" t="s">
        <v>12</v>
      </c>
      <c r="EB91" s="22" t="s">
        <v>20</v>
      </c>
      <c r="EC91" s="22" t="s">
        <v>21</v>
      </c>
      <c r="ED91" s="22" t="s">
        <v>22</v>
      </c>
      <c r="EE91" s="22" t="s">
        <v>4</v>
      </c>
      <c r="EF91" s="22" t="s">
        <v>5</v>
      </c>
      <c r="EG91" s="22" t="s">
        <v>15</v>
      </c>
      <c r="EH91" s="22" t="s">
        <v>17</v>
      </c>
      <c r="EI91" s="22" t="s">
        <v>23</v>
      </c>
      <c r="EJ91" s="22" t="s">
        <v>18</v>
      </c>
      <c r="EK91" s="22" t="s">
        <v>24</v>
      </c>
      <c r="EL91" s="22" t="s">
        <v>11</v>
      </c>
      <c r="EM91" s="22" t="s">
        <v>12</v>
      </c>
      <c r="EN91" s="22" t="s">
        <v>20</v>
      </c>
      <c r="EO91" s="22" t="s">
        <v>21</v>
      </c>
      <c r="EP91" s="22" t="s">
        <v>22</v>
      </c>
      <c r="EQ91" s="22" t="s">
        <v>4</v>
      </c>
      <c r="ER91" s="22" t="s">
        <v>5</v>
      </c>
      <c r="ES91" s="22" t="s">
        <v>6</v>
      </c>
      <c r="ET91" s="22" t="s">
        <v>17</v>
      </c>
      <c r="EU91" s="22" t="s">
        <v>8</v>
      </c>
      <c r="EV91" s="22" t="s">
        <v>18</v>
      </c>
      <c r="EW91" s="22" t="s">
        <v>24</v>
      </c>
      <c r="EX91" s="22" t="s">
        <v>11</v>
      </c>
      <c r="EY91" s="22" t="s">
        <v>12</v>
      </c>
      <c r="EZ91" s="22" t="s">
        <v>20</v>
      </c>
      <c r="FA91" s="22" t="s">
        <v>14</v>
      </c>
      <c r="FB91" s="22" t="s">
        <v>22</v>
      </c>
      <c r="FC91" s="22" t="s">
        <v>4</v>
      </c>
      <c r="FD91" s="22" t="s">
        <v>5</v>
      </c>
      <c r="FE91" s="22" t="s">
        <v>6</v>
      </c>
      <c r="FF91" s="22" t="s">
        <v>7</v>
      </c>
      <c r="FG91" s="22" t="s">
        <v>8</v>
      </c>
      <c r="FH91" s="22" t="s">
        <v>9</v>
      </c>
      <c r="FI91" s="22" t="s">
        <v>24</v>
      </c>
      <c r="FJ91" s="22" t="s">
        <v>11</v>
      </c>
      <c r="FK91" s="22" t="s">
        <v>12</v>
      </c>
      <c r="FL91" s="22" t="s">
        <v>20</v>
      </c>
      <c r="FM91" s="22" t="s">
        <v>14</v>
      </c>
      <c r="FN91" s="22" t="s">
        <v>22</v>
      </c>
      <c r="FO91" s="22" t="s">
        <v>19</v>
      </c>
      <c r="FP91" s="22" t="s">
        <v>27</v>
      </c>
      <c r="FQ91" s="22" t="s">
        <v>15</v>
      </c>
      <c r="FR91" s="22" t="s">
        <v>7</v>
      </c>
      <c r="FS91" s="22" t="s">
        <v>8</v>
      </c>
      <c r="FT91" s="22" t="s">
        <v>9</v>
      </c>
      <c r="FU91" s="22" t="s">
        <v>10</v>
      </c>
      <c r="FV91" s="22" t="s">
        <v>11</v>
      </c>
      <c r="FW91" s="22" t="s">
        <v>12</v>
      </c>
      <c r="FX91" s="22" t="s">
        <v>13</v>
      </c>
      <c r="FY91" s="22" t="s">
        <v>14</v>
      </c>
      <c r="FZ91" s="22" t="s">
        <v>16</v>
      </c>
      <c r="GA91" s="22" t="s">
        <v>19</v>
      </c>
      <c r="GB91" s="22" t="s">
        <v>5</v>
      </c>
      <c r="GC91" s="22" t="s">
        <v>6</v>
      </c>
      <c r="GD91" s="22" t="s">
        <v>7</v>
      </c>
      <c r="GE91" s="22" t="s">
        <v>8</v>
      </c>
      <c r="GF91" s="22" t="s">
        <v>18</v>
      </c>
      <c r="GG91" s="22" t="s">
        <v>24</v>
      </c>
      <c r="GH91" s="22" t="s">
        <v>11</v>
      </c>
      <c r="GI91" s="22" t="s">
        <v>12</v>
      </c>
      <c r="GJ91" s="22" t="s">
        <v>13</v>
      </c>
      <c r="GK91" s="22" t="s">
        <v>14</v>
      </c>
      <c r="GL91" s="22" t="s">
        <v>22</v>
      </c>
      <c r="GM91" s="22" t="s">
        <v>4</v>
      </c>
      <c r="GN91" s="22" t="s">
        <v>5</v>
      </c>
      <c r="GO91" s="22" t="s">
        <v>6</v>
      </c>
      <c r="GP91" s="22" t="s">
        <v>7</v>
      </c>
      <c r="GQ91" s="22" t="s">
        <v>8</v>
      </c>
      <c r="GR91" s="22" t="s">
        <v>18</v>
      </c>
      <c r="GS91" s="22" t="s">
        <v>25</v>
      </c>
      <c r="GT91" s="2"/>
      <c r="GU91" s="2"/>
      <c r="GV91" s="20" t="s">
        <v>3</v>
      </c>
      <c r="GW91" s="21" t="s">
        <v>4</v>
      </c>
      <c r="GX91" s="20" t="s">
        <v>5</v>
      </c>
      <c r="GY91" s="20" t="s">
        <v>6</v>
      </c>
      <c r="GZ91" s="20" t="s">
        <v>7</v>
      </c>
      <c r="HA91" s="20" t="s">
        <v>8</v>
      </c>
      <c r="HB91" s="20" t="s">
        <v>9</v>
      </c>
      <c r="HC91" s="20" t="s">
        <v>10</v>
      </c>
      <c r="HD91" s="20" t="s">
        <v>11</v>
      </c>
      <c r="HE91" s="20" t="s">
        <v>12</v>
      </c>
      <c r="HF91" s="20" t="s">
        <v>13</v>
      </c>
      <c r="HG91" s="20" t="s">
        <v>14</v>
      </c>
      <c r="HH91" s="20" t="s">
        <v>3</v>
      </c>
      <c r="HI91" s="20" t="s">
        <v>4</v>
      </c>
      <c r="HJ91" s="20" t="s">
        <v>5</v>
      </c>
      <c r="HK91" s="20" t="s">
        <v>15</v>
      </c>
      <c r="HL91" s="22" t="s">
        <v>7</v>
      </c>
      <c r="HM91" s="22" t="s">
        <v>8</v>
      </c>
      <c r="HN91" s="22" t="s">
        <v>9</v>
      </c>
      <c r="HO91" s="22" t="s">
        <v>10</v>
      </c>
      <c r="HP91" s="22" t="s">
        <v>11</v>
      </c>
      <c r="HQ91" s="22" t="s">
        <v>12</v>
      </c>
      <c r="HR91" s="22" t="s">
        <v>13</v>
      </c>
      <c r="HS91" s="22" t="s">
        <v>14</v>
      </c>
      <c r="HT91" s="22" t="s">
        <v>16</v>
      </c>
      <c r="HU91" s="22" t="s">
        <v>4</v>
      </c>
      <c r="HV91" s="22" t="s">
        <v>5</v>
      </c>
      <c r="HW91" s="22" t="s">
        <v>6</v>
      </c>
      <c r="HX91" s="22" t="s">
        <v>17</v>
      </c>
      <c r="HY91" s="22" t="s">
        <v>8</v>
      </c>
      <c r="HZ91" s="22" t="s">
        <v>18</v>
      </c>
      <c r="IA91" s="22" t="s">
        <v>10</v>
      </c>
      <c r="IB91" s="22" t="s">
        <v>11</v>
      </c>
      <c r="IC91" s="22" t="s">
        <v>12</v>
      </c>
      <c r="ID91" s="22" t="s">
        <v>13</v>
      </c>
      <c r="IE91" s="22" t="s">
        <v>26</v>
      </c>
      <c r="IF91" s="22" t="s">
        <v>16</v>
      </c>
      <c r="IG91" s="22" t="s">
        <v>4</v>
      </c>
      <c r="IH91" s="22" t="s">
        <v>5</v>
      </c>
      <c r="II91" s="22" t="s">
        <v>6</v>
      </c>
      <c r="IJ91" s="22" t="s">
        <v>7</v>
      </c>
      <c r="IK91" s="22" t="s">
        <v>8</v>
      </c>
      <c r="IL91" s="22" t="s">
        <v>18</v>
      </c>
      <c r="IM91" s="22" t="s">
        <v>10</v>
      </c>
      <c r="IN91" s="22" t="s">
        <v>11</v>
      </c>
      <c r="IO91" s="22" t="s">
        <v>12</v>
      </c>
      <c r="IP91" s="22" t="s">
        <v>13</v>
      </c>
      <c r="IQ91" s="22" t="s">
        <v>14</v>
      </c>
      <c r="IR91" s="22" t="s">
        <v>3</v>
      </c>
      <c r="IS91" s="22" t="s">
        <v>4</v>
      </c>
      <c r="IT91" s="22" t="s">
        <v>5</v>
      </c>
      <c r="IU91" s="22" t="s">
        <v>15</v>
      </c>
      <c r="IV91" s="22" t="s">
        <v>7</v>
      </c>
      <c r="IW91" s="22" t="s">
        <v>8</v>
      </c>
      <c r="IX91" s="22" t="s">
        <v>18</v>
      </c>
      <c r="IY91" s="22" t="s">
        <v>10</v>
      </c>
      <c r="IZ91" s="22" t="s">
        <v>11</v>
      </c>
      <c r="JA91" s="22" t="s">
        <v>12</v>
      </c>
      <c r="JB91" s="22" t="s">
        <v>20</v>
      </c>
      <c r="JC91" s="22" t="s">
        <v>21</v>
      </c>
      <c r="JD91" s="22" t="s">
        <v>16</v>
      </c>
      <c r="JE91" s="22" t="s">
        <v>4</v>
      </c>
      <c r="JF91" s="22" t="s">
        <v>5</v>
      </c>
      <c r="JG91" s="22" t="s">
        <v>6</v>
      </c>
      <c r="JH91" s="22" t="s">
        <v>7</v>
      </c>
      <c r="JI91" s="22" t="s">
        <v>8</v>
      </c>
      <c r="JJ91" s="22" t="s">
        <v>9</v>
      </c>
      <c r="JK91" s="22" t="s">
        <v>10</v>
      </c>
      <c r="JL91" s="22" t="s">
        <v>11</v>
      </c>
      <c r="JM91" s="22" t="s">
        <v>12</v>
      </c>
      <c r="JN91" s="22" t="s">
        <v>20</v>
      </c>
      <c r="JO91" s="22" t="s">
        <v>21</v>
      </c>
      <c r="JP91" s="22" t="s">
        <v>22</v>
      </c>
      <c r="JQ91" s="22" t="s">
        <v>4</v>
      </c>
      <c r="JR91" s="22" t="s">
        <v>5</v>
      </c>
      <c r="JS91" s="22" t="s">
        <v>6</v>
      </c>
      <c r="JT91" s="22" t="s">
        <v>17</v>
      </c>
      <c r="JU91" s="22" t="s">
        <v>23</v>
      </c>
      <c r="JV91" s="22" t="s">
        <v>18</v>
      </c>
      <c r="JW91" s="22" t="s">
        <v>24</v>
      </c>
      <c r="JX91" s="22" t="s">
        <v>11</v>
      </c>
      <c r="JY91" s="22" t="s">
        <v>12</v>
      </c>
      <c r="JZ91" s="22" t="s">
        <v>13</v>
      </c>
      <c r="KA91" s="22" t="s">
        <v>14</v>
      </c>
      <c r="KB91" s="22" t="s">
        <v>22</v>
      </c>
      <c r="KC91" s="22" t="s">
        <v>4</v>
      </c>
      <c r="KD91" s="22" t="s">
        <v>5</v>
      </c>
      <c r="KE91" s="22" t="s">
        <v>6</v>
      </c>
      <c r="KF91" s="22" t="s">
        <v>17</v>
      </c>
      <c r="KG91" s="22" t="s">
        <v>8</v>
      </c>
      <c r="KH91" s="22" t="s">
        <v>18</v>
      </c>
      <c r="KI91" s="22" t="s">
        <v>10</v>
      </c>
      <c r="KJ91" s="22" t="s">
        <v>11</v>
      </c>
      <c r="KK91" s="22" t="s">
        <v>12</v>
      </c>
      <c r="KL91" s="22" t="s">
        <v>20</v>
      </c>
      <c r="KM91" s="22" t="s">
        <v>21</v>
      </c>
      <c r="KN91" s="22" t="s">
        <v>16</v>
      </c>
      <c r="KO91" s="22" t="s">
        <v>19</v>
      </c>
      <c r="KP91" s="22" t="s">
        <v>5</v>
      </c>
      <c r="KQ91" s="22" t="s">
        <v>6</v>
      </c>
      <c r="KR91" s="22" t="s">
        <v>7</v>
      </c>
      <c r="KS91" s="22" t="s">
        <v>8</v>
      </c>
      <c r="KT91" s="22" t="s">
        <v>18</v>
      </c>
      <c r="KU91" s="22" t="s">
        <v>24</v>
      </c>
      <c r="KV91" s="22" t="s">
        <v>11</v>
      </c>
      <c r="KW91" s="22" t="s">
        <v>12</v>
      </c>
      <c r="KX91" s="22" t="s">
        <v>20</v>
      </c>
      <c r="KY91" s="22" t="s">
        <v>14</v>
      </c>
      <c r="KZ91" s="22" t="s">
        <v>16</v>
      </c>
      <c r="LA91" s="22" t="s">
        <v>4</v>
      </c>
      <c r="LB91" s="22" t="s">
        <v>27</v>
      </c>
      <c r="LC91" s="22" t="s">
        <v>6</v>
      </c>
      <c r="LD91" s="22" t="s">
        <v>7</v>
      </c>
      <c r="LE91" s="22" t="s">
        <v>8</v>
      </c>
      <c r="LF91" s="22" t="s">
        <v>9</v>
      </c>
      <c r="LG91" s="22" t="s">
        <v>24</v>
      </c>
      <c r="LH91" s="22" t="s">
        <v>11</v>
      </c>
      <c r="LI91" s="22" t="s">
        <v>12</v>
      </c>
      <c r="LJ91" s="22" t="s">
        <v>20</v>
      </c>
      <c r="LK91" s="22" t="s">
        <v>14</v>
      </c>
      <c r="LL91" s="22" t="s">
        <v>22</v>
      </c>
      <c r="LM91" s="22" t="s">
        <v>19</v>
      </c>
      <c r="LN91" s="22" t="s">
        <v>5</v>
      </c>
      <c r="LO91" s="22" t="s">
        <v>15</v>
      </c>
      <c r="LP91" s="22" t="s">
        <v>7</v>
      </c>
      <c r="LQ91" s="22" t="s">
        <v>8</v>
      </c>
      <c r="LR91" s="22" t="s">
        <v>18</v>
      </c>
      <c r="LS91" s="22" t="s">
        <v>10</v>
      </c>
      <c r="LT91" s="22" t="s">
        <v>11</v>
      </c>
      <c r="LU91" s="22" t="s">
        <v>12</v>
      </c>
      <c r="LV91" s="22" t="s">
        <v>13</v>
      </c>
      <c r="LW91" s="22" t="s">
        <v>14</v>
      </c>
      <c r="LX91" s="22" t="s">
        <v>22</v>
      </c>
      <c r="LY91" s="22" t="s">
        <v>4</v>
      </c>
      <c r="LZ91" s="22" t="s">
        <v>5</v>
      </c>
      <c r="MA91" s="22" t="s">
        <v>6</v>
      </c>
      <c r="MB91" s="22" t="s">
        <v>17</v>
      </c>
      <c r="MC91" s="22" t="s">
        <v>8</v>
      </c>
      <c r="MD91" s="22" t="s">
        <v>18</v>
      </c>
      <c r="ME91" s="22" t="s">
        <v>24</v>
      </c>
      <c r="MF91" s="22" t="s">
        <v>11</v>
      </c>
      <c r="MG91" s="22" t="s">
        <v>101</v>
      </c>
      <c r="MH91" s="22" t="s">
        <v>20</v>
      </c>
      <c r="MI91" s="22" t="s">
        <v>14</v>
      </c>
      <c r="MJ91" s="22" t="s">
        <v>22</v>
      </c>
      <c r="MK91" s="22" t="s">
        <v>4</v>
      </c>
      <c r="ML91" s="22" t="s">
        <v>5</v>
      </c>
      <c r="MM91" s="22" t="s">
        <v>6</v>
      </c>
      <c r="MN91" s="22" t="s">
        <v>17</v>
      </c>
      <c r="MO91" s="22" t="s">
        <v>8</v>
      </c>
      <c r="MP91" s="22" t="s">
        <v>18</v>
      </c>
      <c r="MQ91" s="22" t="s">
        <v>24</v>
      </c>
      <c r="MR91" s="22" t="s">
        <v>11</v>
      </c>
      <c r="MS91" s="22" t="s">
        <v>12</v>
      </c>
      <c r="MT91" s="22" t="s">
        <v>20</v>
      </c>
      <c r="MU91" s="22" t="s">
        <v>14</v>
      </c>
      <c r="MV91" s="22" t="s">
        <v>22</v>
      </c>
      <c r="MW91" s="22" t="s">
        <v>4</v>
      </c>
      <c r="MX91" s="22" t="s">
        <v>5</v>
      </c>
      <c r="MY91" s="22" t="s">
        <v>6</v>
      </c>
      <c r="MZ91" s="22" t="s">
        <v>7</v>
      </c>
      <c r="NA91" s="22" t="s">
        <v>8</v>
      </c>
      <c r="NB91" s="22" t="s">
        <v>18</v>
      </c>
      <c r="NC91" s="22" t="s">
        <v>24</v>
      </c>
      <c r="ND91" s="22" t="s">
        <v>11</v>
      </c>
      <c r="NE91" s="22" t="s">
        <v>12</v>
      </c>
      <c r="NF91" s="22" t="s">
        <v>20</v>
      </c>
      <c r="NG91" s="22" t="s">
        <v>14</v>
      </c>
      <c r="NH91" s="22" t="s">
        <v>22</v>
      </c>
      <c r="NI91" s="22" t="s">
        <v>19</v>
      </c>
      <c r="NJ91" s="22" t="s">
        <v>27</v>
      </c>
      <c r="NK91" s="22" t="s">
        <v>6</v>
      </c>
      <c r="NL91" s="22" t="s">
        <v>7</v>
      </c>
      <c r="NM91" s="22" t="s">
        <v>8</v>
      </c>
      <c r="NN91" s="22" t="s">
        <v>9</v>
      </c>
      <c r="NO91" s="22" t="s">
        <v>10</v>
      </c>
      <c r="NP91" s="22" t="s">
        <v>11</v>
      </c>
      <c r="NQ91" s="22" t="s">
        <v>12</v>
      </c>
      <c r="NR91" s="22" t="s">
        <v>20</v>
      </c>
      <c r="NS91" s="22" t="s">
        <v>14</v>
      </c>
      <c r="NT91" s="22" t="s">
        <v>16</v>
      </c>
      <c r="NU91" s="22" t="s">
        <v>19</v>
      </c>
      <c r="NV91" s="22" t="s">
        <v>5</v>
      </c>
      <c r="NW91" s="22" t="s">
        <v>6</v>
      </c>
      <c r="NX91" s="22" t="s">
        <v>7</v>
      </c>
      <c r="NY91" s="22" t="s">
        <v>8</v>
      </c>
      <c r="NZ91" s="22" t="s">
        <v>18</v>
      </c>
      <c r="OA91" s="22" t="s">
        <v>24</v>
      </c>
      <c r="OB91" s="22" t="s">
        <v>11</v>
      </c>
      <c r="OC91" s="22" t="s">
        <v>12</v>
      </c>
      <c r="OD91" s="22" t="s">
        <v>13</v>
      </c>
      <c r="OE91" s="22" t="s">
        <v>14</v>
      </c>
      <c r="OF91" s="22" t="s">
        <v>16</v>
      </c>
      <c r="OG91" s="22" t="s">
        <v>4</v>
      </c>
      <c r="OH91" s="22" t="s">
        <v>5</v>
      </c>
      <c r="OI91" s="22" t="s">
        <v>15</v>
      </c>
      <c r="OJ91" s="22" t="s">
        <v>7</v>
      </c>
      <c r="OK91" s="22" t="s">
        <v>8</v>
      </c>
      <c r="OL91" s="22" t="s">
        <v>18</v>
      </c>
    </row>
    <row r="92" spans="1:402" s="145" customFormat="1" ht="19.5" customHeight="1" x14ac:dyDescent="0.35">
      <c r="A92" s="12" t="s">
        <v>29</v>
      </c>
      <c r="B92" s="156">
        <v>246</v>
      </c>
      <c r="C92" s="156">
        <v>261</v>
      </c>
      <c r="D92" s="156">
        <v>291</v>
      </c>
      <c r="E92" s="156">
        <v>300</v>
      </c>
      <c r="F92" s="156">
        <f>'[1]Jan 08'!C37</f>
        <v>330</v>
      </c>
      <c r="G92" s="143">
        <f>'[1]Feb 08'!C37</f>
        <v>341</v>
      </c>
      <c r="H92" s="143">
        <f>'[1]Mar 08'!C37</f>
        <v>331</v>
      </c>
      <c r="I92" s="143">
        <v>323</v>
      </c>
      <c r="J92" s="143">
        <f>'[1]May 08'!C37</f>
        <v>323</v>
      </c>
      <c r="K92" s="143">
        <f>'[1]Jun 08'!C37</f>
        <v>297</v>
      </c>
      <c r="L92" s="143">
        <f>'[1]Jul 08'!C37</f>
        <v>277</v>
      </c>
      <c r="M92" s="143">
        <f>'[1]Aug 08'!C37</f>
        <v>263</v>
      </c>
      <c r="N92" s="143">
        <v>268</v>
      </c>
      <c r="O92" s="143">
        <v>286</v>
      </c>
      <c r="P92" s="143">
        <v>287</v>
      </c>
      <c r="Q92" s="143">
        <v>283</v>
      </c>
      <c r="R92" s="143">
        <v>279</v>
      </c>
      <c r="S92" s="143">
        <v>270</v>
      </c>
      <c r="T92" s="143">
        <v>252</v>
      </c>
      <c r="U92" s="143">
        <v>231</v>
      </c>
      <c r="V92" s="143">
        <v>203</v>
      </c>
      <c r="W92" s="143">
        <v>178</v>
      </c>
      <c r="X92" s="143">
        <v>156</v>
      </c>
      <c r="Y92" s="143">
        <v>149</v>
      </c>
      <c r="Z92" s="143">
        <v>155</v>
      </c>
      <c r="AA92" s="143">
        <v>157</v>
      </c>
      <c r="AB92" s="143">
        <v>155</v>
      </c>
      <c r="AC92" s="143">
        <v>143</v>
      </c>
      <c r="AD92" s="143">
        <v>146</v>
      </c>
      <c r="AE92" s="143">
        <v>145</v>
      </c>
      <c r="AF92" s="143">
        <v>134</v>
      </c>
      <c r="AG92" s="143">
        <v>130</v>
      </c>
      <c r="AH92" s="143">
        <v>132</v>
      </c>
      <c r="AI92" s="143">
        <v>125</v>
      </c>
      <c r="AJ92" s="143">
        <v>115</v>
      </c>
      <c r="AK92" s="143">
        <v>104</v>
      </c>
      <c r="AL92" s="143">
        <v>105</v>
      </c>
      <c r="AM92" s="143">
        <v>109</v>
      </c>
      <c r="AN92" s="143">
        <v>114</v>
      </c>
      <c r="AO92" s="143">
        <v>110</v>
      </c>
      <c r="AP92" s="143">
        <v>116</v>
      </c>
      <c r="AQ92" s="143">
        <v>112</v>
      </c>
      <c r="AR92" s="143">
        <v>105</v>
      </c>
      <c r="AS92" s="143">
        <v>106</v>
      </c>
      <c r="AT92" s="143">
        <v>98</v>
      </c>
      <c r="AU92" s="143">
        <v>92</v>
      </c>
      <c r="AV92" s="143">
        <v>88</v>
      </c>
      <c r="AW92" s="143">
        <v>88</v>
      </c>
      <c r="AX92" s="143">
        <v>91</v>
      </c>
      <c r="AY92" s="143">
        <v>95</v>
      </c>
      <c r="AZ92" s="143">
        <v>93</v>
      </c>
      <c r="BA92" s="143">
        <v>89</v>
      </c>
      <c r="BB92" s="143">
        <v>101</v>
      </c>
      <c r="BC92" s="143">
        <v>102</v>
      </c>
      <c r="BD92" s="143">
        <v>97</v>
      </c>
      <c r="BE92" s="143">
        <v>93</v>
      </c>
      <c r="BF92" s="143">
        <v>84</v>
      </c>
      <c r="BG92" s="143">
        <v>79</v>
      </c>
      <c r="BH92" s="143">
        <v>79</v>
      </c>
      <c r="BI92" s="143">
        <v>76</v>
      </c>
      <c r="BJ92" s="143">
        <v>85</v>
      </c>
      <c r="BK92" s="143">
        <v>93</v>
      </c>
      <c r="BL92" s="143">
        <v>104</v>
      </c>
      <c r="BM92" s="143">
        <v>105</v>
      </c>
      <c r="BN92" s="143">
        <v>111</v>
      </c>
      <c r="BO92" s="143">
        <v>120</v>
      </c>
      <c r="BP92" s="143">
        <v>119</v>
      </c>
      <c r="BQ92" s="143">
        <v>116</v>
      </c>
      <c r="BR92" s="143">
        <v>105</v>
      </c>
      <c r="BS92" s="143">
        <v>89</v>
      </c>
      <c r="BT92" s="143">
        <v>84</v>
      </c>
      <c r="BU92" s="143">
        <v>88</v>
      </c>
      <c r="BV92" s="143">
        <v>97</v>
      </c>
      <c r="BW92" s="143">
        <v>119</v>
      </c>
      <c r="BX92" s="143">
        <v>127</v>
      </c>
      <c r="BY92" s="143">
        <v>131</v>
      </c>
      <c r="BZ92" s="143">
        <v>139</v>
      </c>
      <c r="CA92" s="143">
        <v>141</v>
      </c>
      <c r="CB92" s="143">
        <v>142</v>
      </c>
      <c r="CC92" s="143">
        <v>140</v>
      </c>
      <c r="CD92" s="143">
        <v>131</v>
      </c>
      <c r="CE92" s="143">
        <v>109</v>
      </c>
      <c r="CF92" s="143">
        <v>99</v>
      </c>
      <c r="CG92" s="143">
        <v>101</v>
      </c>
      <c r="CH92" s="143">
        <v>108</v>
      </c>
      <c r="CI92" s="143">
        <v>125</v>
      </c>
      <c r="CJ92" s="143">
        <v>137</v>
      </c>
      <c r="CK92" s="143">
        <v>139</v>
      </c>
      <c r="CL92" s="143">
        <v>148</v>
      </c>
      <c r="CM92" s="143">
        <v>161</v>
      </c>
      <c r="CN92" s="143">
        <v>155</v>
      </c>
      <c r="CO92" s="143">
        <v>145</v>
      </c>
      <c r="CP92" s="143">
        <v>129</v>
      </c>
      <c r="CQ92" s="143">
        <v>105</v>
      </c>
      <c r="CR92" s="143">
        <v>101</v>
      </c>
      <c r="CS92" s="143">
        <v>105</v>
      </c>
      <c r="CT92" s="143">
        <v>112</v>
      </c>
      <c r="CU92" s="143">
        <v>134</v>
      </c>
      <c r="CV92" s="143">
        <v>131</v>
      </c>
      <c r="CW92" s="143">
        <v>134</v>
      </c>
      <c r="CX92" s="143">
        <v>154</v>
      </c>
      <c r="CY92" s="143">
        <v>163</v>
      </c>
      <c r="CZ92" s="143">
        <v>163</v>
      </c>
      <c r="DA92" s="143">
        <v>159</v>
      </c>
      <c r="DB92" s="143">
        <v>148</v>
      </c>
      <c r="DC92" s="143">
        <v>123</v>
      </c>
      <c r="DD92" s="143">
        <v>109</v>
      </c>
      <c r="DE92" s="143">
        <v>108</v>
      </c>
      <c r="DF92" s="143">
        <v>123</v>
      </c>
      <c r="DG92" s="143">
        <v>137</v>
      </c>
      <c r="DH92" s="143">
        <v>147</v>
      </c>
      <c r="DI92" s="143">
        <v>159</v>
      </c>
      <c r="DJ92" s="143">
        <v>168</v>
      </c>
      <c r="DK92" s="143">
        <v>176</v>
      </c>
      <c r="DL92" s="143">
        <v>158</v>
      </c>
      <c r="DM92" s="143">
        <v>146</v>
      </c>
      <c r="DN92" s="143">
        <v>133</v>
      </c>
      <c r="DO92" s="143">
        <v>110</v>
      </c>
      <c r="DP92" s="143">
        <v>100</v>
      </c>
      <c r="DQ92" s="143">
        <v>101</v>
      </c>
      <c r="DR92" s="143">
        <v>116</v>
      </c>
      <c r="DS92" s="143">
        <v>133</v>
      </c>
      <c r="DT92" s="143">
        <v>137</v>
      </c>
      <c r="DU92" s="143">
        <v>141</v>
      </c>
      <c r="DV92" s="143">
        <v>158</v>
      </c>
      <c r="DW92" s="143">
        <v>156</v>
      </c>
      <c r="DX92" s="143">
        <v>154</v>
      </c>
      <c r="DY92" s="143">
        <v>149</v>
      </c>
      <c r="DZ92" s="143">
        <v>132</v>
      </c>
      <c r="EA92" s="143">
        <v>109</v>
      </c>
      <c r="EB92" s="143">
        <v>99</v>
      </c>
      <c r="EC92" s="143">
        <v>93</v>
      </c>
      <c r="ED92" s="143">
        <v>110</v>
      </c>
      <c r="EE92" s="143">
        <v>127</v>
      </c>
      <c r="EF92" s="143">
        <v>143</v>
      </c>
      <c r="EG92" s="143">
        <v>150</v>
      </c>
      <c r="EH92" s="143">
        <v>156</v>
      </c>
      <c r="EI92" s="143">
        <v>159</v>
      </c>
      <c r="EJ92" s="143">
        <v>167</v>
      </c>
      <c r="EK92" s="143">
        <v>159</v>
      </c>
      <c r="EL92" s="143">
        <v>146</v>
      </c>
      <c r="EM92" s="143">
        <v>128</v>
      </c>
      <c r="EN92" s="143">
        <v>113</v>
      </c>
      <c r="EO92" s="143">
        <v>113</v>
      </c>
      <c r="EP92" s="143">
        <v>123</v>
      </c>
      <c r="EQ92" s="143">
        <v>143</v>
      </c>
      <c r="ER92" s="143">
        <v>150</v>
      </c>
      <c r="ES92" s="143">
        <v>150</v>
      </c>
      <c r="ET92" s="143">
        <v>159</v>
      </c>
      <c r="EU92" s="143">
        <v>161</v>
      </c>
      <c r="EV92" s="143">
        <v>146</v>
      </c>
      <c r="EW92" s="143">
        <v>137</v>
      </c>
      <c r="EX92" s="143">
        <v>136</v>
      </c>
      <c r="EY92" s="143">
        <v>130</v>
      </c>
      <c r="EZ92" s="143">
        <v>109</v>
      </c>
      <c r="FA92" s="143">
        <v>106</v>
      </c>
      <c r="FB92" s="143">
        <v>126</v>
      </c>
      <c r="FC92" s="143">
        <v>126</v>
      </c>
      <c r="FD92" s="143">
        <v>126</v>
      </c>
      <c r="FE92" s="143">
        <v>109</v>
      </c>
      <c r="FF92" s="143">
        <v>107</v>
      </c>
      <c r="FG92" s="143">
        <v>106</v>
      </c>
      <c r="FH92" s="143">
        <v>114</v>
      </c>
      <c r="FI92" s="143">
        <v>119</v>
      </c>
      <c r="FJ92" s="143">
        <v>116</v>
      </c>
      <c r="FK92" s="143">
        <v>105</v>
      </c>
      <c r="FL92" s="143">
        <v>100</v>
      </c>
      <c r="FM92" s="143">
        <v>96</v>
      </c>
      <c r="FN92" s="143">
        <v>105</v>
      </c>
      <c r="FO92" s="143">
        <v>108</v>
      </c>
      <c r="FP92" s="143">
        <v>103</v>
      </c>
      <c r="FQ92" s="143">
        <v>100</v>
      </c>
      <c r="FR92" s="143">
        <v>107</v>
      </c>
      <c r="FS92" s="143">
        <v>115</v>
      </c>
      <c r="FT92" s="143">
        <v>107</v>
      </c>
      <c r="FU92" s="143">
        <v>120</v>
      </c>
      <c r="FV92" s="143">
        <v>130</v>
      </c>
      <c r="FW92" s="143">
        <v>164</v>
      </c>
      <c r="FX92" s="143">
        <v>157</v>
      </c>
      <c r="FY92" s="143">
        <v>154</v>
      </c>
      <c r="FZ92" s="143">
        <v>162</v>
      </c>
      <c r="GA92" s="143">
        <v>187</v>
      </c>
      <c r="GB92" s="143">
        <v>182</v>
      </c>
      <c r="GC92" s="143">
        <v>170</v>
      </c>
      <c r="GD92" s="143">
        <v>206</v>
      </c>
      <c r="GE92" s="143">
        <v>216</v>
      </c>
      <c r="GF92" s="143">
        <v>209</v>
      </c>
      <c r="GG92" s="143">
        <v>214</v>
      </c>
      <c r="GH92" s="143">
        <v>201</v>
      </c>
      <c r="GI92" s="143">
        <v>181</v>
      </c>
      <c r="GJ92" s="143">
        <v>166</v>
      </c>
      <c r="GK92" s="143">
        <v>170</v>
      </c>
      <c r="GL92" s="143">
        <v>187</v>
      </c>
      <c r="GM92" s="143">
        <v>220</v>
      </c>
      <c r="GN92" s="143">
        <v>221</v>
      </c>
      <c r="GO92" s="143">
        <v>218</v>
      </c>
      <c r="GP92" s="143">
        <v>271</v>
      </c>
      <c r="GQ92" s="143">
        <v>292</v>
      </c>
      <c r="GR92" s="143">
        <v>300</v>
      </c>
      <c r="GS92" s="143">
        <f>SUM(GG92:GR92)/12</f>
        <v>220.08333333333334</v>
      </c>
      <c r="GT92" s="152"/>
      <c r="GU92" s="12" t="s">
        <v>29</v>
      </c>
      <c r="GV92" s="145" t="s">
        <v>30</v>
      </c>
      <c r="GW92" s="145">
        <f t="shared" ref="GW92:JH92" si="70">(C92-B92)/B92</f>
        <v>6.097560975609756E-2</v>
      </c>
      <c r="GX92" s="145">
        <f t="shared" si="70"/>
        <v>0.11494252873563218</v>
      </c>
      <c r="GY92" s="145">
        <f t="shared" si="70"/>
        <v>3.0927835051546393E-2</v>
      </c>
      <c r="GZ92" s="145">
        <f t="shared" si="70"/>
        <v>0.1</v>
      </c>
      <c r="HA92" s="145">
        <f t="shared" si="70"/>
        <v>3.3333333333333333E-2</v>
      </c>
      <c r="HB92" s="145">
        <f t="shared" si="70"/>
        <v>-2.932551319648094E-2</v>
      </c>
      <c r="HC92" s="145">
        <f t="shared" si="70"/>
        <v>-2.4169184290030211E-2</v>
      </c>
      <c r="HD92" s="145">
        <f t="shared" si="70"/>
        <v>0</v>
      </c>
      <c r="HE92" s="145">
        <f t="shared" si="70"/>
        <v>-8.0495356037151702E-2</v>
      </c>
      <c r="HF92" s="145">
        <f t="shared" si="70"/>
        <v>-6.7340067340067339E-2</v>
      </c>
      <c r="HG92" s="145">
        <f t="shared" si="70"/>
        <v>-5.0541516245487361E-2</v>
      </c>
      <c r="HH92" s="145">
        <f t="shared" si="70"/>
        <v>1.9011406844106463E-2</v>
      </c>
      <c r="HI92" s="145">
        <f t="shared" si="70"/>
        <v>6.7164179104477612E-2</v>
      </c>
      <c r="HJ92" s="145">
        <f t="shared" si="70"/>
        <v>3.4965034965034965E-3</v>
      </c>
      <c r="HK92" s="145">
        <f t="shared" si="70"/>
        <v>-1.3937282229965157E-2</v>
      </c>
      <c r="HL92" s="145">
        <f t="shared" si="70"/>
        <v>-1.4134275618374558E-2</v>
      </c>
      <c r="HM92" s="145">
        <f t="shared" si="70"/>
        <v>-3.2258064516129031E-2</v>
      </c>
      <c r="HN92" s="145">
        <f t="shared" si="70"/>
        <v>-6.6666666666666666E-2</v>
      </c>
      <c r="HO92" s="145">
        <f t="shared" si="70"/>
        <v>-8.3333333333333329E-2</v>
      </c>
      <c r="HP92" s="145">
        <f t="shared" si="70"/>
        <v>-0.12121212121212122</v>
      </c>
      <c r="HQ92" s="145">
        <f t="shared" si="70"/>
        <v>-0.12315270935960591</v>
      </c>
      <c r="HR92" s="145">
        <f t="shared" si="70"/>
        <v>-0.12359550561797752</v>
      </c>
      <c r="HS92" s="145">
        <f t="shared" si="70"/>
        <v>-4.4871794871794872E-2</v>
      </c>
      <c r="HT92" s="145">
        <f t="shared" si="70"/>
        <v>4.0268456375838924E-2</v>
      </c>
      <c r="HU92" s="145">
        <f t="shared" si="70"/>
        <v>1.2903225806451613E-2</v>
      </c>
      <c r="HV92" s="145">
        <f t="shared" si="70"/>
        <v>-1.2738853503184714E-2</v>
      </c>
      <c r="HW92" s="145">
        <f t="shared" si="70"/>
        <v>-7.7419354838709681E-2</v>
      </c>
      <c r="HX92" s="145">
        <f t="shared" si="70"/>
        <v>2.097902097902098E-2</v>
      </c>
      <c r="HY92" s="145">
        <f t="shared" si="70"/>
        <v>-6.8493150684931503E-3</v>
      </c>
      <c r="HZ92" s="145">
        <f t="shared" si="70"/>
        <v>-7.586206896551724E-2</v>
      </c>
      <c r="IA92" s="145">
        <f t="shared" si="70"/>
        <v>-2.9850746268656716E-2</v>
      </c>
      <c r="IB92" s="145">
        <f t="shared" si="70"/>
        <v>1.5384615384615385E-2</v>
      </c>
      <c r="IC92" s="145">
        <f t="shared" si="70"/>
        <v>-5.3030303030303032E-2</v>
      </c>
      <c r="ID92" s="145">
        <f t="shared" si="70"/>
        <v>-0.08</v>
      </c>
      <c r="IE92" s="145">
        <f t="shared" si="70"/>
        <v>-9.5652173913043481E-2</v>
      </c>
      <c r="IF92" s="145">
        <f t="shared" si="70"/>
        <v>9.6153846153846159E-3</v>
      </c>
      <c r="IG92" s="145">
        <f t="shared" si="70"/>
        <v>3.8095238095238099E-2</v>
      </c>
      <c r="IH92" s="145">
        <f t="shared" si="70"/>
        <v>4.5871559633027525E-2</v>
      </c>
      <c r="II92" s="145">
        <f t="shared" si="70"/>
        <v>-3.5087719298245612E-2</v>
      </c>
      <c r="IJ92" s="145">
        <f t="shared" si="70"/>
        <v>5.4545454545454543E-2</v>
      </c>
      <c r="IK92" s="145">
        <f t="shared" si="70"/>
        <v>-3.4482758620689655E-2</v>
      </c>
      <c r="IL92" s="145">
        <f t="shared" si="70"/>
        <v>-6.25E-2</v>
      </c>
      <c r="IM92" s="145">
        <f t="shared" si="70"/>
        <v>9.5238095238095247E-3</v>
      </c>
      <c r="IN92" s="145">
        <f t="shared" si="70"/>
        <v>-7.5471698113207544E-2</v>
      </c>
      <c r="IO92" s="145">
        <f t="shared" si="70"/>
        <v>-6.1224489795918366E-2</v>
      </c>
      <c r="IP92" s="145">
        <f t="shared" si="70"/>
        <v>-4.3478260869565216E-2</v>
      </c>
      <c r="IQ92" s="145">
        <f t="shared" si="70"/>
        <v>0</v>
      </c>
      <c r="IR92" s="145">
        <f t="shared" si="70"/>
        <v>3.4090909090909088E-2</v>
      </c>
      <c r="IS92" s="145">
        <f t="shared" si="70"/>
        <v>4.3956043956043959E-2</v>
      </c>
      <c r="IT92" s="145">
        <f t="shared" si="70"/>
        <v>-2.1052631578947368E-2</v>
      </c>
      <c r="IU92" s="145">
        <f t="shared" si="70"/>
        <v>-4.3010752688172046E-2</v>
      </c>
      <c r="IV92" s="145">
        <f t="shared" si="70"/>
        <v>0.1348314606741573</v>
      </c>
      <c r="IW92" s="145">
        <f t="shared" si="70"/>
        <v>9.9009900990099011E-3</v>
      </c>
      <c r="IX92" s="145">
        <f t="shared" si="70"/>
        <v>-4.9019607843137254E-2</v>
      </c>
      <c r="IY92" s="145">
        <f t="shared" si="70"/>
        <v>-4.1237113402061855E-2</v>
      </c>
      <c r="IZ92" s="145">
        <f t="shared" si="70"/>
        <v>-9.6774193548387094E-2</v>
      </c>
      <c r="JA92" s="145">
        <f t="shared" si="70"/>
        <v>-5.9523809523809521E-2</v>
      </c>
      <c r="JB92" s="145">
        <f t="shared" si="70"/>
        <v>0</v>
      </c>
      <c r="JC92" s="145">
        <f t="shared" si="70"/>
        <v>-3.7974683544303799E-2</v>
      </c>
      <c r="JD92" s="145">
        <f t="shared" si="70"/>
        <v>0.11842105263157894</v>
      </c>
      <c r="JE92" s="145">
        <f t="shared" si="70"/>
        <v>9.4117647058823528E-2</v>
      </c>
      <c r="JF92" s="145">
        <f t="shared" si="70"/>
        <v>0.11827956989247312</v>
      </c>
      <c r="JG92" s="145">
        <f t="shared" si="70"/>
        <v>9.6153846153846159E-3</v>
      </c>
      <c r="JH92" s="145">
        <f t="shared" si="70"/>
        <v>5.7142857142857141E-2</v>
      </c>
      <c r="JI92" s="145">
        <f t="shared" ref="JI92:LT96" si="71">(BO92-BN92)/BN92</f>
        <v>8.1081081081081086E-2</v>
      </c>
      <c r="JJ92" s="145">
        <f t="shared" si="71"/>
        <v>-8.3333333333333332E-3</v>
      </c>
      <c r="JK92" s="145">
        <f t="shared" si="71"/>
        <v>-2.5210084033613446E-2</v>
      </c>
      <c r="JL92" s="145">
        <f t="shared" si="71"/>
        <v>-9.4827586206896547E-2</v>
      </c>
      <c r="JM92" s="145">
        <f t="shared" si="71"/>
        <v>-0.15238095238095239</v>
      </c>
      <c r="JN92" s="145">
        <f t="shared" si="71"/>
        <v>-5.6179775280898875E-2</v>
      </c>
      <c r="JO92" s="145">
        <f t="shared" si="71"/>
        <v>4.7619047619047616E-2</v>
      </c>
      <c r="JP92" s="145">
        <f t="shared" si="71"/>
        <v>0.10227272727272728</v>
      </c>
      <c r="JQ92" s="145">
        <f t="shared" si="71"/>
        <v>0.22680412371134021</v>
      </c>
      <c r="JR92" s="145">
        <f t="shared" si="71"/>
        <v>6.7226890756302518E-2</v>
      </c>
      <c r="JS92" s="145">
        <f t="shared" si="71"/>
        <v>3.1496062992125984E-2</v>
      </c>
      <c r="JT92" s="145">
        <f t="shared" si="71"/>
        <v>6.1068702290076333E-2</v>
      </c>
      <c r="JU92" s="145">
        <f t="shared" si="71"/>
        <v>1.4388489208633094E-2</v>
      </c>
      <c r="JV92" s="145">
        <f t="shared" si="71"/>
        <v>7.0921985815602835E-3</v>
      </c>
      <c r="JW92" s="145">
        <f t="shared" si="71"/>
        <v>-1.4084507042253521E-2</v>
      </c>
      <c r="JX92" s="145">
        <f t="shared" si="71"/>
        <v>-6.4285714285714279E-2</v>
      </c>
      <c r="JY92" s="145">
        <f t="shared" si="71"/>
        <v>-0.16793893129770993</v>
      </c>
      <c r="JZ92" s="145">
        <f t="shared" si="71"/>
        <v>-9.1743119266055051E-2</v>
      </c>
      <c r="KA92" s="145">
        <f t="shared" si="71"/>
        <v>2.0202020202020204E-2</v>
      </c>
      <c r="KB92" s="145">
        <f t="shared" si="71"/>
        <v>6.9306930693069313E-2</v>
      </c>
      <c r="KC92" s="145">
        <f t="shared" si="71"/>
        <v>0.15740740740740741</v>
      </c>
      <c r="KD92" s="145">
        <f t="shared" si="71"/>
        <v>9.6000000000000002E-2</v>
      </c>
      <c r="KE92" s="145">
        <f t="shared" si="71"/>
        <v>1.4598540145985401E-2</v>
      </c>
      <c r="KF92" s="145">
        <f t="shared" si="71"/>
        <v>6.4748201438848921E-2</v>
      </c>
      <c r="KG92" s="145">
        <f t="shared" si="71"/>
        <v>8.7837837837837843E-2</v>
      </c>
      <c r="KH92" s="145">
        <f t="shared" si="71"/>
        <v>-3.7267080745341616E-2</v>
      </c>
      <c r="KI92" s="145">
        <f t="shared" si="71"/>
        <v>-6.4516129032258063E-2</v>
      </c>
      <c r="KJ92" s="145">
        <f t="shared" si="71"/>
        <v>-0.1103448275862069</v>
      </c>
      <c r="KK92" s="145">
        <f t="shared" si="71"/>
        <v>-0.18604651162790697</v>
      </c>
      <c r="KL92" s="145">
        <f t="shared" si="71"/>
        <v>-3.8095238095238099E-2</v>
      </c>
      <c r="KM92" s="145">
        <f t="shared" si="71"/>
        <v>3.9603960396039604E-2</v>
      </c>
      <c r="KN92" s="145">
        <f t="shared" si="71"/>
        <v>6.6666666666666666E-2</v>
      </c>
      <c r="KO92" s="145">
        <f t="shared" si="71"/>
        <v>0.19642857142857142</v>
      </c>
      <c r="KP92" s="145">
        <f t="shared" si="71"/>
        <v>-2.2388059701492536E-2</v>
      </c>
      <c r="KQ92" s="145">
        <f t="shared" si="71"/>
        <v>2.2900763358778626E-2</v>
      </c>
      <c r="KR92" s="145">
        <f t="shared" si="71"/>
        <v>0.14925373134328357</v>
      </c>
      <c r="KS92" s="145">
        <f t="shared" si="71"/>
        <v>5.844155844155844E-2</v>
      </c>
      <c r="KT92" s="145">
        <f t="shared" si="71"/>
        <v>0</v>
      </c>
      <c r="KU92" s="145">
        <f t="shared" si="71"/>
        <v>-2.4539877300613498E-2</v>
      </c>
      <c r="KV92" s="145">
        <f t="shared" si="71"/>
        <v>-6.9182389937106917E-2</v>
      </c>
      <c r="KW92" s="145">
        <f t="shared" si="71"/>
        <v>-0.16891891891891891</v>
      </c>
      <c r="KX92" s="145">
        <f t="shared" si="71"/>
        <v>-0.11382113821138211</v>
      </c>
      <c r="KY92" s="145">
        <f t="shared" si="71"/>
        <v>-9.1743119266055051E-3</v>
      </c>
      <c r="KZ92" s="145">
        <f t="shared" si="71"/>
        <v>0.1388888888888889</v>
      </c>
      <c r="LA92" s="145">
        <f t="shared" si="71"/>
        <v>0.11382113821138211</v>
      </c>
      <c r="LB92" s="145">
        <f t="shared" si="71"/>
        <v>7.2992700729927001E-2</v>
      </c>
      <c r="LC92" s="145">
        <f t="shared" si="71"/>
        <v>8.1632653061224483E-2</v>
      </c>
      <c r="LD92" s="145">
        <f t="shared" si="71"/>
        <v>5.6603773584905662E-2</v>
      </c>
      <c r="LE92" s="145">
        <f t="shared" si="71"/>
        <v>4.7619047619047616E-2</v>
      </c>
      <c r="LF92" s="145">
        <f t="shared" si="71"/>
        <v>-0.10227272727272728</v>
      </c>
      <c r="LG92" s="145">
        <f t="shared" si="71"/>
        <v>-7.5949367088607597E-2</v>
      </c>
      <c r="LH92" s="145">
        <f t="shared" si="71"/>
        <v>-8.9041095890410954E-2</v>
      </c>
      <c r="LI92" s="145">
        <f t="shared" si="71"/>
        <v>-0.17293233082706766</v>
      </c>
      <c r="LJ92" s="145">
        <f t="shared" si="71"/>
        <v>-9.0909090909090912E-2</v>
      </c>
      <c r="LK92" s="145">
        <f t="shared" si="71"/>
        <v>0.01</v>
      </c>
      <c r="LL92" s="145">
        <f t="shared" si="71"/>
        <v>0.14851485148514851</v>
      </c>
      <c r="LM92" s="145">
        <f t="shared" si="71"/>
        <v>0.14655172413793102</v>
      </c>
      <c r="LN92" s="145">
        <f t="shared" si="71"/>
        <v>3.007518796992481E-2</v>
      </c>
      <c r="LO92" s="145">
        <f t="shared" si="71"/>
        <v>2.9197080291970802E-2</v>
      </c>
      <c r="LP92" s="145">
        <f t="shared" si="71"/>
        <v>0.12056737588652482</v>
      </c>
      <c r="LQ92" s="145">
        <f t="shared" si="71"/>
        <v>-1.2658227848101266E-2</v>
      </c>
      <c r="LR92" s="145">
        <f t="shared" si="71"/>
        <v>-1.282051282051282E-2</v>
      </c>
      <c r="LS92" s="145">
        <f t="shared" si="71"/>
        <v>-3.2467532467532464E-2</v>
      </c>
      <c r="LT92" s="145">
        <f t="shared" si="71"/>
        <v>-0.11409395973154363</v>
      </c>
      <c r="LU92" s="145">
        <f t="shared" ref="LU92:MR96" si="72">(EA92-DZ92)/DZ92</f>
        <v>-0.17424242424242425</v>
      </c>
      <c r="LV92" s="145">
        <f t="shared" si="72"/>
        <v>-9.1743119266055051E-2</v>
      </c>
      <c r="LW92" s="145">
        <f t="shared" si="72"/>
        <v>-6.0606060606060608E-2</v>
      </c>
      <c r="LX92" s="145">
        <f t="shared" si="72"/>
        <v>0.18279569892473119</v>
      </c>
      <c r="LY92" s="145">
        <f t="shared" si="72"/>
        <v>0.15454545454545454</v>
      </c>
      <c r="LZ92" s="145">
        <f t="shared" si="72"/>
        <v>0.12598425196850394</v>
      </c>
      <c r="MA92" s="145">
        <f t="shared" si="72"/>
        <v>4.8951048951048952E-2</v>
      </c>
      <c r="MB92" s="145">
        <f t="shared" si="72"/>
        <v>0.04</v>
      </c>
      <c r="MC92" s="145">
        <f t="shared" si="72"/>
        <v>1.9230769230769232E-2</v>
      </c>
      <c r="MD92" s="145">
        <f t="shared" si="72"/>
        <v>5.0314465408805034E-2</v>
      </c>
      <c r="ME92" s="145">
        <f t="shared" si="72"/>
        <v>-4.790419161676647E-2</v>
      </c>
      <c r="MF92" s="145">
        <f t="shared" si="72"/>
        <v>-8.1761006289308172E-2</v>
      </c>
      <c r="MG92" s="145">
        <f t="shared" si="72"/>
        <v>-0.12328767123287671</v>
      </c>
      <c r="MH92" s="145">
        <f t="shared" si="72"/>
        <v>-0.1171875</v>
      </c>
      <c r="MI92" s="145">
        <f t="shared" si="72"/>
        <v>0</v>
      </c>
      <c r="MJ92" s="145">
        <f t="shared" si="72"/>
        <v>8.8495575221238937E-2</v>
      </c>
      <c r="MK92" s="145">
        <f t="shared" si="72"/>
        <v>0.16260162601626016</v>
      </c>
      <c r="ML92" s="145">
        <f t="shared" si="72"/>
        <v>4.8951048951048952E-2</v>
      </c>
      <c r="MM92" s="145">
        <f t="shared" si="72"/>
        <v>0</v>
      </c>
      <c r="MN92" s="145">
        <f t="shared" si="72"/>
        <v>0.06</v>
      </c>
      <c r="MO92" s="145">
        <f t="shared" si="72"/>
        <v>1.2578616352201259E-2</v>
      </c>
      <c r="MP92" s="145">
        <f t="shared" si="72"/>
        <v>-9.3167701863354033E-2</v>
      </c>
      <c r="MQ92" s="145">
        <f t="shared" si="72"/>
        <v>-6.1643835616438353E-2</v>
      </c>
      <c r="MR92" s="145">
        <f t="shared" si="72"/>
        <v>-7.2992700729927005E-3</v>
      </c>
      <c r="MS92" s="145">
        <f>(EZ92-EY92)/EY92</f>
        <v>-0.16153846153846155</v>
      </c>
      <c r="MT92" s="145">
        <f t="shared" ref="MT92:NI96" si="73">(EZ92-EY92)/EZ92</f>
        <v>-0.19266055045871561</v>
      </c>
      <c r="MU92" s="145">
        <f t="shared" si="73"/>
        <v>-2.8301886792452831E-2</v>
      </c>
      <c r="MV92" s="145">
        <f t="shared" si="73"/>
        <v>0.15873015873015872</v>
      </c>
      <c r="MW92" s="145">
        <f t="shared" si="73"/>
        <v>0</v>
      </c>
      <c r="MX92" s="145">
        <f t="shared" si="73"/>
        <v>0</v>
      </c>
      <c r="MY92" s="145">
        <f t="shared" si="73"/>
        <v>-0.15596330275229359</v>
      </c>
      <c r="MZ92" s="145">
        <f t="shared" si="73"/>
        <v>-1.8691588785046728E-2</v>
      </c>
      <c r="NA92" s="145">
        <f t="shared" si="73"/>
        <v>-9.433962264150943E-3</v>
      </c>
      <c r="NB92" s="145">
        <f t="shared" si="73"/>
        <v>7.0175438596491224E-2</v>
      </c>
      <c r="NC92" s="145">
        <f t="shared" si="73"/>
        <v>4.2016806722689079E-2</v>
      </c>
      <c r="ND92" s="145">
        <f t="shared" si="73"/>
        <v>-2.5862068965517241E-2</v>
      </c>
      <c r="NE92" s="145">
        <f t="shared" si="73"/>
        <v>-0.10476190476190476</v>
      </c>
      <c r="NF92" s="145">
        <f t="shared" si="73"/>
        <v>-0.05</v>
      </c>
      <c r="NG92" s="145">
        <f t="shared" si="73"/>
        <v>-4.1666666666666664E-2</v>
      </c>
      <c r="NH92" s="145">
        <f t="shared" si="73"/>
        <v>8.5714285714285715E-2</v>
      </c>
      <c r="NI92" s="145">
        <f t="shared" si="73"/>
        <v>2.7777777777777776E-2</v>
      </c>
      <c r="NJ92" s="145">
        <f t="shared" ref="NJ92:NY96" si="74">(FP92-FO92)/FP92</f>
        <v>-4.8543689320388349E-2</v>
      </c>
      <c r="NK92" s="145">
        <f t="shared" si="74"/>
        <v>-0.03</v>
      </c>
      <c r="NL92" s="145">
        <f t="shared" si="74"/>
        <v>6.5420560747663545E-2</v>
      </c>
      <c r="NM92" s="145">
        <f t="shared" si="74"/>
        <v>6.9565217391304349E-2</v>
      </c>
      <c r="NN92" s="145">
        <f t="shared" si="74"/>
        <v>-7.476635514018691E-2</v>
      </c>
      <c r="NO92" s="145">
        <f t="shared" si="74"/>
        <v>0.10833333333333334</v>
      </c>
      <c r="NP92" s="145">
        <f t="shared" si="74"/>
        <v>7.6923076923076927E-2</v>
      </c>
      <c r="NQ92" s="145">
        <f t="shared" si="74"/>
        <v>0.2073170731707317</v>
      </c>
      <c r="NR92" s="145">
        <f t="shared" si="74"/>
        <v>-4.4585987261146494E-2</v>
      </c>
      <c r="NS92" s="145">
        <f t="shared" si="74"/>
        <v>-1.948051948051948E-2</v>
      </c>
      <c r="NT92" s="145">
        <f t="shared" si="74"/>
        <v>4.9382716049382713E-2</v>
      </c>
      <c r="NU92" s="145">
        <f t="shared" si="74"/>
        <v>0.13368983957219252</v>
      </c>
      <c r="NV92" s="145">
        <f t="shared" si="74"/>
        <v>-2.7472527472527472E-2</v>
      </c>
      <c r="NW92" s="145">
        <f t="shared" si="74"/>
        <v>-7.0588235294117646E-2</v>
      </c>
      <c r="NX92" s="145">
        <f t="shared" si="74"/>
        <v>0.17475728155339806</v>
      </c>
      <c r="NY92" s="145">
        <f t="shared" si="74"/>
        <v>4.6296296296296294E-2</v>
      </c>
      <c r="NZ92" s="145">
        <f t="shared" ref="NX92:OL96" si="75">(GF92-GE92)/GF92</f>
        <v>-3.3492822966507178E-2</v>
      </c>
      <c r="OA92" s="145">
        <f t="shared" si="75"/>
        <v>2.336448598130841E-2</v>
      </c>
      <c r="OB92" s="145">
        <f t="shared" si="75"/>
        <v>-6.4676616915422883E-2</v>
      </c>
      <c r="OC92" s="145">
        <f t="shared" si="75"/>
        <v>-0.11049723756906077</v>
      </c>
      <c r="OD92" s="145">
        <f t="shared" si="75"/>
        <v>-9.036144578313253E-2</v>
      </c>
      <c r="OE92" s="145">
        <f t="shared" si="75"/>
        <v>2.3529411764705882E-2</v>
      </c>
      <c r="OF92" s="145">
        <f t="shared" si="75"/>
        <v>9.0909090909090912E-2</v>
      </c>
      <c r="OG92" s="145">
        <f t="shared" si="75"/>
        <v>0.15</v>
      </c>
      <c r="OH92" s="145">
        <f t="shared" si="75"/>
        <v>4.5248868778280547E-3</v>
      </c>
      <c r="OI92" s="145">
        <f t="shared" si="75"/>
        <v>-1.3761467889908258E-2</v>
      </c>
      <c r="OJ92" s="145">
        <f t="shared" si="75"/>
        <v>0.19557195571955718</v>
      </c>
      <c r="OK92" s="145">
        <f t="shared" si="75"/>
        <v>7.1917808219178078E-2</v>
      </c>
      <c r="OL92" s="145">
        <f t="shared" si="75"/>
        <v>2.6666666666666668E-2</v>
      </c>
    </row>
    <row r="93" spans="1:402" s="145" customFormat="1" ht="19.5" customHeight="1" x14ac:dyDescent="0.35">
      <c r="A93" s="12" t="s">
        <v>31</v>
      </c>
      <c r="B93" s="156"/>
      <c r="C93" s="156"/>
      <c r="D93" s="156"/>
      <c r="E93" s="156"/>
      <c r="F93" s="156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>
        <v>4</v>
      </c>
      <c r="DK93" s="143">
        <v>5</v>
      </c>
      <c r="DL93" s="143">
        <v>10</v>
      </c>
      <c r="DM93" s="143">
        <v>5</v>
      </c>
      <c r="DN93" s="143">
        <v>2</v>
      </c>
      <c r="DO93" s="143">
        <v>3</v>
      </c>
      <c r="DP93" s="143">
        <v>2</v>
      </c>
      <c r="DQ93" s="143">
        <v>2</v>
      </c>
      <c r="DR93" s="143">
        <v>4</v>
      </c>
      <c r="DS93" s="143">
        <v>1</v>
      </c>
      <c r="DT93" s="143">
        <v>5</v>
      </c>
      <c r="DU93" s="143">
        <v>3</v>
      </c>
      <c r="DV93" s="143">
        <v>3</v>
      </c>
      <c r="DW93" s="143">
        <v>4</v>
      </c>
      <c r="DX93" s="143">
        <v>4</v>
      </c>
      <c r="DY93" s="143">
        <v>11</v>
      </c>
      <c r="DZ93" s="143">
        <v>7</v>
      </c>
      <c r="EA93" s="143">
        <v>5</v>
      </c>
      <c r="EB93" s="143">
        <v>3</v>
      </c>
      <c r="EC93" s="143">
        <v>7</v>
      </c>
      <c r="ED93" s="143">
        <v>3</v>
      </c>
      <c r="EE93" s="143">
        <v>4</v>
      </c>
      <c r="EF93" s="143">
        <v>4</v>
      </c>
      <c r="EG93" s="143">
        <v>8</v>
      </c>
      <c r="EH93" s="143">
        <v>11</v>
      </c>
      <c r="EI93" s="143">
        <v>7</v>
      </c>
      <c r="EJ93" s="143">
        <v>9</v>
      </c>
      <c r="EK93" s="143">
        <v>12</v>
      </c>
      <c r="EL93" s="143">
        <v>8</v>
      </c>
      <c r="EM93" s="143">
        <v>3</v>
      </c>
      <c r="EN93" s="143">
        <v>3</v>
      </c>
      <c r="EO93" s="143">
        <v>3</v>
      </c>
      <c r="EP93" s="143">
        <v>4</v>
      </c>
      <c r="EQ93" s="143">
        <v>4</v>
      </c>
      <c r="ER93" s="143">
        <v>4</v>
      </c>
      <c r="ES93" s="143">
        <v>8</v>
      </c>
      <c r="ET93" s="143">
        <v>8</v>
      </c>
      <c r="EU93" s="143">
        <v>7</v>
      </c>
      <c r="EV93" s="143">
        <v>5</v>
      </c>
      <c r="EW93" s="143">
        <v>4</v>
      </c>
      <c r="EX93" s="143">
        <v>8</v>
      </c>
      <c r="EY93" s="143">
        <v>10</v>
      </c>
      <c r="EZ93" s="143">
        <v>10</v>
      </c>
      <c r="FA93" s="143">
        <v>16</v>
      </c>
      <c r="FB93" s="143">
        <v>12</v>
      </c>
      <c r="FC93" s="143">
        <v>20</v>
      </c>
      <c r="FD93" s="143">
        <v>17</v>
      </c>
      <c r="FE93" s="143">
        <v>16</v>
      </c>
      <c r="FF93" s="143">
        <v>25</v>
      </c>
      <c r="FG93" s="143">
        <v>21</v>
      </c>
      <c r="FH93" s="143">
        <v>22</v>
      </c>
      <c r="FI93" s="143">
        <v>30</v>
      </c>
      <c r="FJ93" s="143">
        <v>23</v>
      </c>
      <c r="FK93" s="143">
        <v>17</v>
      </c>
      <c r="FL93" s="143">
        <v>12</v>
      </c>
      <c r="FM93" s="143">
        <v>7</v>
      </c>
      <c r="FN93" s="143">
        <v>16</v>
      </c>
      <c r="FO93" s="143">
        <v>17</v>
      </c>
      <c r="FP93" s="143">
        <v>26</v>
      </c>
      <c r="FQ93" s="143">
        <v>16</v>
      </c>
      <c r="FR93" s="143">
        <v>27</v>
      </c>
      <c r="FS93" s="143">
        <v>31</v>
      </c>
      <c r="FT93" s="143">
        <v>33</v>
      </c>
      <c r="FU93" s="143">
        <v>31</v>
      </c>
      <c r="FV93" s="143">
        <v>25</v>
      </c>
      <c r="FW93" s="143">
        <v>20</v>
      </c>
      <c r="FX93" s="143">
        <v>22</v>
      </c>
      <c r="FY93" s="143">
        <v>11</v>
      </c>
      <c r="FZ93" s="143">
        <v>17</v>
      </c>
      <c r="GA93" s="143">
        <v>13</v>
      </c>
      <c r="GB93" s="143">
        <v>10</v>
      </c>
      <c r="GC93" s="143">
        <v>8</v>
      </c>
      <c r="GD93" s="143">
        <v>15</v>
      </c>
      <c r="GE93" s="143">
        <v>21</v>
      </c>
      <c r="GF93" s="143">
        <v>29</v>
      </c>
      <c r="GG93" s="143">
        <v>29</v>
      </c>
      <c r="GH93" s="143">
        <v>24</v>
      </c>
      <c r="GI93" s="143">
        <v>16</v>
      </c>
      <c r="GJ93" s="143">
        <v>11</v>
      </c>
      <c r="GK93" s="143">
        <v>8</v>
      </c>
      <c r="GL93" s="143">
        <v>15</v>
      </c>
      <c r="GM93" s="143">
        <v>16</v>
      </c>
      <c r="GN93" s="143">
        <v>17</v>
      </c>
      <c r="GO93" s="143">
        <v>13</v>
      </c>
      <c r="GP93" s="143">
        <v>18</v>
      </c>
      <c r="GQ93" s="143">
        <v>32</v>
      </c>
      <c r="GR93" s="143">
        <v>34</v>
      </c>
      <c r="GS93" s="143">
        <f t="shared" ref="GS93:GS96" si="76">SUM(GG93:GR93)/12</f>
        <v>19.416666666666668</v>
      </c>
      <c r="GT93" s="152"/>
      <c r="GU93" s="12" t="s">
        <v>31</v>
      </c>
      <c r="LE93" s="145">
        <f t="shared" si="71"/>
        <v>0.25</v>
      </c>
      <c r="LF93" s="145">
        <f t="shared" si="71"/>
        <v>1</v>
      </c>
      <c r="LG93" s="145">
        <f t="shared" si="71"/>
        <v>-0.5</v>
      </c>
      <c r="LH93" s="145">
        <f t="shared" si="71"/>
        <v>-0.6</v>
      </c>
      <c r="LI93" s="145">
        <f t="shared" si="71"/>
        <v>0.5</v>
      </c>
      <c r="LJ93" s="145">
        <f t="shared" si="71"/>
        <v>-0.33333333333333331</v>
      </c>
      <c r="LK93" s="145">
        <f t="shared" si="71"/>
        <v>0</v>
      </c>
      <c r="LL93" s="145">
        <f t="shared" si="71"/>
        <v>1</v>
      </c>
      <c r="LM93" s="145">
        <f t="shared" si="71"/>
        <v>-0.75</v>
      </c>
      <c r="LN93" s="145">
        <f t="shared" si="71"/>
        <v>4</v>
      </c>
      <c r="LO93" s="145">
        <f t="shared" si="71"/>
        <v>-0.4</v>
      </c>
      <c r="LP93" s="145">
        <f t="shared" si="71"/>
        <v>0</v>
      </c>
      <c r="LQ93" s="145">
        <f t="shared" si="71"/>
        <v>0.33333333333333331</v>
      </c>
      <c r="LR93" s="145">
        <f t="shared" si="71"/>
        <v>0</v>
      </c>
      <c r="LS93" s="145">
        <f t="shared" si="71"/>
        <v>1.75</v>
      </c>
      <c r="LT93" s="145">
        <f t="shared" si="71"/>
        <v>-0.36363636363636365</v>
      </c>
      <c r="LU93" s="145">
        <f t="shared" si="72"/>
        <v>-0.2857142857142857</v>
      </c>
      <c r="LV93" s="145">
        <f t="shared" si="72"/>
        <v>-0.4</v>
      </c>
      <c r="LW93" s="145">
        <f t="shared" si="72"/>
        <v>1.3333333333333333</v>
      </c>
      <c r="LX93" s="145">
        <f t="shared" si="72"/>
        <v>-0.5714285714285714</v>
      </c>
      <c r="LY93" s="145">
        <f t="shared" si="72"/>
        <v>0.33333333333333331</v>
      </c>
      <c r="LZ93" s="145">
        <f t="shared" si="72"/>
        <v>0</v>
      </c>
      <c r="MA93" s="145">
        <f t="shared" si="72"/>
        <v>1</v>
      </c>
      <c r="MB93" s="145">
        <f t="shared" si="72"/>
        <v>0.375</v>
      </c>
      <c r="MC93" s="145">
        <f t="shared" si="72"/>
        <v>-0.36363636363636365</v>
      </c>
      <c r="MD93" s="145">
        <f t="shared" si="72"/>
        <v>0.2857142857142857</v>
      </c>
      <c r="ME93" s="145">
        <f t="shared" si="72"/>
        <v>0.33333333333333331</v>
      </c>
      <c r="MF93" s="145">
        <f t="shared" si="72"/>
        <v>-0.33333333333333331</v>
      </c>
      <c r="MG93" s="145">
        <f t="shared" si="72"/>
        <v>-0.625</v>
      </c>
      <c r="MH93" s="145">
        <f t="shared" si="72"/>
        <v>0</v>
      </c>
      <c r="MI93" s="145">
        <f t="shared" si="72"/>
        <v>0</v>
      </c>
      <c r="MJ93" s="145">
        <f t="shared" si="72"/>
        <v>0.33333333333333331</v>
      </c>
      <c r="MK93" s="145">
        <f t="shared" si="72"/>
        <v>0</v>
      </c>
      <c r="ML93" s="145">
        <f t="shared" si="72"/>
        <v>0</v>
      </c>
      <c r="MM93" s="145">
        <f t="shared" si="72"/>
        <v>1</v>
      </c>
      <c r="MN93" s="145">
        <f t="shared" si="72"/>
        <v>0</v>
      </c>
      <c r="MO93" s="145">
        <f t="shared" si="72"/>
        <v>-0.125</v>
      </c>
      <c r="MP93" s="145">
        <f t="shared" si="72"/>
        <v>-0.2857142857142857</v>
      </c>
      <c r="MQ93" s="145">
        <f t="shared" si="72"/>
        <v>-0.2</v>
      </c>
      <c r="MR93" s="145">
        <f t="shared" si="72"/>
        <v>1</v>
      </c>
      <c r="MS93" s="145">
        <f>(EZ93-EY93)/EY93</f>
        <v>0</v>
      </c>
      <c r="MT93" s="145">
        <f t="shared" si="73"/>
        <v>0</v>
      </c>
      <c r="MU93" s="145">
        <f t="shared" si="73"/>
        <v>0.375</v>
      </c>
      <c r="MV93" s="145">
        <f t="shared" si="73"/>
        <v>-0.33333333333333331</v>
      </c>
      <c r="MW93" s="145">
        <f t="shared" si="73"/>
        <v>0.4</v>
      </c>
      <c r="MX93" s="145">
        <f t="shared" si="73"/>
        <v>-0.17647058823529413</v>
      </c>
      <c r="MY93" s="145">
        <f t="shared" si="73"/>
        <v>-6.25E-2</v>
      </c>
      <c r="MZ93" s="145">
        <f t="shared" si="73"/>
        <v>0.36</v>
      </c>
      <c r="NA93" s="145">
        <f t="shared" si="73"/>
        <v>-0.19047619047619047</v>
      </c>
      <c r="NB93" s="145">
        <f t="shared" si="73"/>
        <v>4.5454545454545456E-2</v>
      </c>
      <c r="NC93" s="145">
        <f t="shared" si="73"/>
        <v>0.26666666666666666</v>
      </c>
      <c r="ND93" s="145">
        <f t="shared" si="73"/>
        <v>-0.30434782608695654</v>
      </c>
      <c r="NE93" s="145">
        <f t="shared" si="73"/>
        <v>-0.35294117647058826</v>
      </c>
      <c r="NF93" s="145">
        <f t="shared" si="73"/>
        <v>-0.41666666666666669</v>
      </c>
      <c r="NG93" s="145">
        <f t="shared" si="73"/>
        <v>-0.7142857142857143</v>
      </c>
      <c r="NH93" s="145">
        <f t="shared" si="73"/>
        <v>0.5625</v>
      </c>
      <c r="NI93" s="145">
        <f t="shared" si="73"/>
        <v>5.8823529411764705E-2</v>
      </c>
      <c r="NJ93" s="145">
        <f t="shared" si="74"/>
        <v>0.34615384615384615</v>
      </c>
      <c r="NK93" s="145">
        <f t="shared" si="74"/>
        <v>-0.625</v>
      </c>
      <c r="NL93" s="145">
        <f t="shared" si="74"/>
        <v>0.40740740740740738</v>
      </c>
      <c r="NM93" s="145">
        <f t="shared" si="74"/>
        <v>0.12903225806451613</v>
      </c>
      <c r="NN93" s="145">
        <f t="shared" si="74"/>
        <v>6.0606060606060608E-2</v>
      </c>
      <c r="NO93" s="145">
        <f t="shared" si="74"/>
        <v>-6.4516129032258063E-2</v>
      </c>
      <c r="NP93" s="145">
        <f t="shared" si="74"/>
        <v>-0.24</v>
      </c>
      <c r="NQ93" s="145">
        <f t="shared" si="74"/>
        <v>-0.25</v>
      </c>
      <c r="NR93" s="145">
        <f t="shared" si="74"/>
        <v>9.0909090909090912E-2</v>
      </c>
      <c r="NS93" s="145">
        <f t="shared" si="74"/>
        <v>-1</v>
      </c>
      <c r="NT93" s="145">
        <f t="shared" si="74"/>
        <v>0.35294117647058826</v>
      </c>
      <c r="NU93" s="145">
        <f t="shared" si="74"/>
        <v>-0.30769230769230771</v>
      </c>
      <c r="NV93" s="145">
        <f t="shared" si="74"/>
        <v>-0.3</v>
      </c>
      <c r="NW93" s="145">
        <f t="shared" si="74"/>
        <v>-0.25</v>
      </c>
      <c r="NX93" s="145">
        <f t="shared" si="75"/>
        <v>0.46666666666666667</v>
      </c>
      <c r="NY93" s="145">
        <f t="shared" si="75"/>
        <v>0.2857142857142857</v>
      </c>
      <c r="NZ93" s="145">
        <f t="shared" si="75"/>
        <v>0.27586206896551724</v>
      </c>
      <c r="OA93" s="145">
        <f t="shared" si="75"/>
        <v>0</v>
      </c>
      <c r="OB93" s="145">
        <f t="shared" si="75"/>
        <v>-0.20833333333333334</v>
      </c>
      <c r="OC93" s="145">
        <f t="shared" si="75"/>
        <v>-0.5</v>
      </c>
      <c r="OD93" s="145">
        <f t="shared" si="75"/>
        <v>-0.45454545454545453</v>
      </c>
      <c r="OE93" s="145">
        <f t="shared" si="75"/>
        <v>-0.375</v>
      </c>
      <c r="OF93" s="145">
        <f t="shared" si="75"/>
        <v>0.46666666666666667</v>
      </c>
      <c r="OG93" s="145">
        <f t="shared" si="75"/>
        <v>6.25E-2</v>
      </c>
      <c r="OH93" s="145">
        <f t="shared" si="75"/>
        <v>5.8823529411764705E-2</v>
      </c>
      <c r="OI93" s="145">
        <f t="shared" si="75"/>
        <v>-0.30769230769230771</v>
      </c>
      <c r="OJ93" s="145">
        <f t="shared" si="75"/>
        <v>0.27777777777777779</v>
      </c>
      <c r="OK93" s="145">
        <f t="shared" si="75"/>
        <v>0.4375</v>
      </c>
      <c r="OL93" s="145">
        <f t="shared" si="75"/>
        <v>5.8823529411764705E-2</v>
      </c>
    </row>
    <row r="94" spans="1:402" s="145" customFormat="1" ht="19.5" customHeight="1" x14ac:dyDescent="0.35">
      <c r="A94" s="12" t="s">
        <v>32</v>
      </c>
      <c r="B94" s="156">
        <v>6</v>
      </c>
      <c r="C94" s="156">
        <v>1</v>
      </c>
      <c r="D94" s="156">
        <v>4</v>
      </c>
      <c r="E94" s="156">
        <v>4</v>
      </c>
      <c r="F94" s="156">
        <f>'[1]Jan 08'!C39</f>
        <v>6</v>
      </c>
      <c r="G94" s="143">
        <f>'[1]Feb 08'!C39</f>
        <v>14</v>
      </c>
      <c r="H94" s="143">
        <f>'[1]Mar 08'!C39</f>
        <v>10</v>
      </c>
      <c r="I94" s="143">
        <v>4</v>
      </c>
      <c r="J94" s="143">
        <f>'[1]May 08'!C39</f>
        <v>5</v>
      </c>
      <c r="K94" s="143">
        <f>'[1]Jun 08'!C39</f>
        <v>5</v>
      </c>
      <c r="L94" s="143">
        <f>'[1]Jul 08'!C39</f>
        <v>7</v>
      </c>
      <c r="M94" s="143">
        <f>'[1]Aug 08'!C39</f>
        <v>9</v>
      </c>
      <c r="N94" s="143">
        <v>7</v>
      </c>
      <c r="O94" s="143">
        <v>8</v>
      </c>
      <c r="P94" s="143">
        <v>5</v>
      </c>
      <c r="Q94" s="143">
        <v>5</v>
      </c>
      <c r="R94" s="143">
        <v>7</v>
      </c>
      <c r="S94" s="143">
        <v>7</v>
      </c>
      <c r="T94" s="143">
        <v>7</v>
      </c>
      <c r="U94" s="143">
        <v>5</v>
      </c>
      <c r="V94" s="143">
        <v>5</v>
      </c>
      <c r="W94" s="143">
        <v>5</v>
      </c>
      <c r="X94" s="143">
        <v>3</v>
      </c>
      <c r="Y94" s="143">
        <v>2</v>
      </c>
      <c r="Z94" s="143">
        <v>3</v>
      </c>
      <c r="AA94" s="143">
        <v>2</v>
      </c>
      <c r="AB94" s="143">
        <v>1</v>
      </c>
      <c r="AC94" s="143">
        <v>3</v>
      </c>
      <c r="AD94" s="143">
        <v>4</v>
      </c>
      <c r="AE94" s="143">
        <v>0</v>
      </c>
      <c r="AF94" s="143">
        <v>4</v>
      </c>
      <c r="AG94" s="143">
        <v>6</v>
      </c>
      <c r="AH94" s="143">
        <v>6</v>
      </c>
      <c r="AI94" s="143">
        <v>4</v>
      </c>
      <c r="AJ94" s="143">
        <v>3</v>
      </c>
      <c r="AK94" s="143">
        <v>6</v>
      </c>
      <c r="AL94" s="143">
        <v>4</v>
      </c>
      <c r="AM94" s="143">
        <v>6</v>
      </c>
      <c r="AN94" s="143">
        <v>7</v>
      </c>
      <c r="AO94" s="143">
        <v>2</v>
      </c>
      <c r="AP94" s="143">
        <v>3</v>
      </c>
      <c r="AQ94" s="143">
        <v>4</v>
      </c>
      <c r="AR94" s="143">
        <v>5</v>
      </c>
      <c r="AS94" s="143">
        <v>6</v>
      </c>
      <c r="AT94" s="143">
        <v>7</v>
      </c>
      <c r="AU94" s="143">
        <v>2</v>
      </c>
      <c r="AV94" s="143">
        <v>2</v>
      </c>
      <c r="AW94" s="143">
        <v>2</v>
      </c>
      <c r="AX94" s="143">
        <v>1</v>
      </c>
      <c r="AY94" s="143">
        <v>2</v>
      </c>
      <c r="AZ94" s="143">
        <v>2</v>
      </c>
      <c r="BA94" s="143">
        <v>1</v>
      </c>
      <c r="BB94" s="143">
        <v>2</v>
      </c>
      <c r="BC94" s="143">
        <v>3</v>
      </c>
      <c r="BD94" s="143">
        <v>3</v>
      </c>
      <c r="BE94" s="143">
        <v>7</v>
      </c>
      <c r="BF94" s="143">
        <v>1</v>
      </c>
      <c r="BG94" s="143">
        <v>0</v>
      </c>
      <c r="BH94" s="143">
        <v>0</v>
      </c>
      <c r="BI94" s="143">
        <v>3</v>
      </c>
      <c r="BJ94" s="143">
        <v>2</v>
      </c>
      <c r="BK94" s="143">
        <v>1</v>
      </c>
      <c r="BL94" s="143">
        <v>1</v>
      </c>
      <c r="BM94" s="143">
        <v>2</v>
      </c>
      <c r="BN94" s="143">
        <v>2</v>
      </c>
      <c r="BO94" s="143">
        <v>3</v>
      </c>
      <c r="BP94" s="143">
        <v>3</v>
      </c>
      <c r="BQ94" s="143">
        <v>2</v>
      </c>
      <c r="BR94" s="143">
        <v>1</v>
      </c>
      <c r="BS94" s="143">
        <v>4</v>
      </c>
      <c r="BT94" s="143">
        <v>4</v>
      </c>
      <c r="BU94" s="143">
        <v>0</v>
      </c>
      <c r="BV94" s="143">
        <v>3</v>
      </c>
      <c r="BW94" s="143">
        <v>4</v>
      </c>
      <c r="BX94" s="143">
        <v>7</v>
      </c>
      <c r="BY94" s="143">
        <v>5</v>
      </c>
      <c r="BZ94" s="143">
        <v>4</v>
      </c>
      <c r="CA94" s="143">
        <v>7</v>
      </c>
      <c r="CB94" s="143">
        <v>8</v>
      </c>
      <c r="CC94" s="143">
        <v>7</v>
      </c>
      <c r="CD94" s="143">
        <v>7</v>
      </c>
      <c r="CE94" s="143">
        <v>6</v>
      </c>
      <c r="CF94" s="143">
        <v>6</v>
      </c>
      <c r="CG94" s="143">
        <v>3</v>
      </c>
      <c r="CH94" s="143">
        <v>3</v>
      </c>
      <c r="CI94" s="143">
        <v>6</v>
      </c>
      <c r="CJ94" s="143">
        <v>6</v>
      </c>
      <c r="CK94" s="143">
        <v>4</v>
      </c>
      <c r="CL94" s="143">
        <v>2</v>
      </c>
      <c r="CM94" s="143">
        <v>5</v>
      </c>
      <c r="CN94" s="143">
        <v>12</v>
      </c>
      <c r="CO94" s="143">
        <v>11</v>
      </c>
      <c r="CP94" s="143">
        <v>9</v>
      </c>
      <c r="CQ94" s="143">
        <v>9</v>
      </c>
      <c r="CR94" s="143">
        <v>5</v>
      </c>
      <c r="CS94" s="143">
        <v>5</v>
      </c>
      <c r="CT94" s="143">
        <v>5</v>
      </c>
      <c r="CU94" s="143">
        <v>5</v>
      </c>
      <c r="CV94" s="143">
        <v>5</v>
      </c>
      <c r="CW94" s="143">
        <v>5</v>
      </c>
      <c r="CX94" s="143">
        <v>6</v>
      </c>
      <c r="CY94" s="143">
        <v>5</v>
      </c>
      <c r="CZ94" s="143">
        <v>5</v>
      </c>
      <c r="DA94" s="143">
        <v>11</v>
      </c>
      <c r="DB94" s="143">
        <v>10</v>
      </c>
      <c r="DC94" s="143">
        <v>6</v>
      </c>
      <c r="DD94" s="143">
        <v>7</v>
      </c>
      <c r="DE94" s="143">
        <v>8</v>
      </c>
      <c r="DF94" s="143">
        <v>5</v>
      </c>
      <c r="DG94" s="143">
        <v>2</v>
      </c>
      <c r="DH94" s="143">
        <v>3</v>
      </c>
      <c r="DI94" s="143">
        <v>2</v>
      </c>
      <c r="DJ94" s="143">
        <v>2</v>
      </c>
      <c r="DK94" s="143">
        <v>11</v>
      </c>
      <c r="DL94" s="143">
        <v>4</v>
      </c>
      <c r="DM94" s="143">
        <v>8</v>
      </c>
      <c r="DN94" s="143">
        <v>3</v>
      </c>
      <c r="DO94" s="143">
        <v>3</v>
      </c>
      <c r="DP94" s="143">
        <v>6</v>
      </c>
      <c r="DQ94" s="143">
        <v>3</v>
      </c>
      <c r="DR94" s="143">
        <v>3</v>
      </c>
      <c r="DS94" s="143">
        <v>8</v>
      </c>
      <c r="DT94" s="143">
        <v>4</v>
      </c>
      <c r="DU94" s="143">
        <v>7</v>
      </c>
      <c r="DV94" s="143">
        <v>3</v>
      </c>
      <c r="DW94" s="143">
        <v>6</v>
      </c>
      <c r="DX94" s="143">
        <v>7</v>
      </c>
      <c r="DY94" s="143">
        <v>7</v>
      </c>
      <c r="DZ94" s="143">
        <v>7</v>
      </c>
      <c r="EA94" s="143">
        <v>3</v>
      </c>
      <c r="EB94" s="143">
        <v>4</v>
      </c>
      <c r="EC94" s="143">
        <v>1</v>
      </c>
      <c r="ED94" s="143">
        <v>0</v>
      </c>
      <c r="EE94" s="143">
        <v>1</v>
      </c>
      <c r="EF94" s="143">
        <v>2</v>
      </c>
      <c r="EG94" s="143">
        <v>3</v>
      </c>
      <c r="EH94" s="143">
        <v>8</v>
      </c>
      <c r="EI94" s="143">
        <v>10</v>
      </c>
      <c r="EJ94" s="143">
        <v>10</v>
      </c>
      <c r="EK94" s="143">
        <v>5</v>
      </c>
      <c r="EL94" s="143">
        <v>7</v>
      </c>
      <c r="EM94" s="143">
        <v>5</v>
      </c>
      <c r="EN94" s="143">
        <v>4</v>
      </c>
      <c r="EO94" s="143">
        <v>3</v>
      </c>
      <c r="EP94" s="143">
        <v>7</v>
      </c>
      <c r="EQ94" s="143">
        <v>6</v>
      </c>
      <c r="ER94" s="143">
        <v>8</v>
      </c>
      <c r="ES94" s="143">
        <v>6</v>
      </c>
      <c r="ET94" s="143">
        <v>5</v>
      </c>
      <c r="EU94" s="143">
        <v>9</v>
      </c>
      <c r="EV94" s="143">
        <v>8</v>
      </c>
      <c r="EW94" s="143">
        <v>6</v>
      </c>
      <c r="EX94" s="143">
        <v>9</v>
      </c>
      <c r="EY94" s="143">
        <v>14</v>
      </c>
      <c r="EZ94" s="143">
        <v>15</v>
      </c>
      <c r="FA94" s="143">
        <v>12</v>
      </c>
      <c r="FB94" s="143">
        <v>15</v>
      </c>
      <c r="FC94" s="143">
        <v>17</v>
      </c>
      <c r="FD94" s="143">
        <v>19</v>
      </c>
      <c r="FE94" s="143">
        <v>30</v>
      </c>
      <c r="FF94" s="143">
        <v>28</v>
      </c>
      <c r="FG94" s="143">
        <v>27</v>
      </c>
      <c r="FH94" s="143">
        <v>30</v>
      </c>
      <c r="FI94" s="143">
        <v>26</v>
      </c>
      <c r="FJ94" s="143">
        <v>33</v>
      </c>
      <c r="FK94" s="143">
        <v>33</v>
      </c>
      <c r="FL94" s="143">
        <v>31</v>
      </c>
      <c r="FM94" s="143">
        <v>35</v>
      </c>
      <c r="FN94" s="143">
        <v>43</v>
      </c>
      <c r="FO94" s="143">
        <v>40</v>
      </c>
      <c r="FP94" s="143">
        <v>49</v>
      </c>
      <c r="FQ94" s="143">
        <v>45</v>
      </c>
      <c r="FR94" s="143">
        <v>42</v>
      </c>
      <c r="FS94" s="143">
        <v>48</v>
      </c>
      <c r="FT94" s="143">
        <v>65</v>
      </c>
      <c r="FU94" s="143">
        <v>60</v>
      </c>
      <c r="FV94" s="143">
        <v>55</v>
      </c>
      <c r="FW94" s="143">
        <v>44</v>
      </c>
      <c r="FX94" s="143">
        <v>33</v>
      </c>
      <c r="FY94" s="143">
        <v>31</v>
      </c>
      <c r="FZ94" s="143">
        <v>28</v>
      </c>
      <c r="GA94" s="143">
        <v>30</v>
      </c>
      <c r="GB94" s="143">
        <v>25</v>
      </c>
      <c r="GC94" s="143">
        <v>19</v>
      </c>
      <c r="GD94" s="143">
        <v>26</v>
      </c>
      <c r="GE94" s="143">
        <v>32</v>
      </c>
      <c r="GF94" s="143">
        <v>29</v>
      </c>
      <c r="GG94" s="143">
        <v>33</v>
      </c>
      <c r="GH94" s="143">
        <v>41</v>
      </c>
      <c r="GI94" s="143">
        <v>29</v>
      </c>
      <c r="GJ94" s="143">
        <v>21</v>
      </c>
      <c r="GK94" s="143">
        <v>28</v>
      </c>
      <c r="GL94" s="143">
        <v>33</v>
      </c>
      <c r="GM94" s="143">
        <v>23</v>
      </c>
      <c r="GN94" s="143">
        <v>34</v>
      </c>
      <c r="GO94" s="143">
        <v>23</v>
      </c>
      <c r="GP94" s="143">
        <v>23</v>
      </c>
      <c r="GQ94" s="143">
        <v>32</v>
      </c>
      <c r="GR94" s="143">
        <v>43</v>
      </c>
      <c r="GS94" s="143">
        <f t="shared" si="76"/>
        <v>30.25</v>
      </c>
      <c r="GT94" s="152"/>
      <c r="GU94" s="12" t="s">
        <v>32</v>
      </c>
      <c r="GV94" s="145" t="s">
        <v>30</v>
      </c>
      <c r="GW94" s="145">
        <f t="shared" ref="GW94:HL96" si="77">(C94-B94)/B94</f>
        <v>-0.83333333333333337</v>
      </c>
      <c r="GX94" s="145">
        <f t="shared" si="77"/>
        <v>3</v>
      </c>
      <c r="GY94" s="145">
        <f t="shared" si="77"/>
        <v>0</v>
      </c>
      <c r="GZ94" s="145">
        <f t="shared" si="77"/>
        <v>0.5</v>
      </c>
      <c r="HA94" s="145">
        <f t="shared" si="77"/>
        <v>1.3333333333333333</v>
      </c>
      <c r="HB94" s="145">
        <f t="shared" si="77"/>
        <v>-0.2857142857142857</v>
      </c>
      <c r="HC94" s="145">
        <f t="shared" si="77"/>
        <v>-0.6</v>
      </c>
      <c r="HD94" s="145">
        <f t="shared" si="77"/>
        <v>0.25</v>
      </c>
      <c r="HE94" s="145">
        <f t="shared" si="77"/>
        <v>0</v>
      </c>
      <c r="HF94" s="145">
        <f t="shared" si="77"/>
        <v>0.4</v>
      </c>
      <c r="HG94" s="145">
        <f t="shared" si="77"/>
        <v>0.2857142857142857</v>
      </c>
      <c r="HH94" s="145">
        <f t="shared" si="77"/>
        <v>-0.22222222222222221</v>
      </c>
      <c r="HI94" s="145">
        <f t="shared" si="77"/>
        <v>0.14285714285714285</v>
      </c>
      <c r="HJ94" s="145">
        <f t="shared" si="77"/>
        <v>-0.375</v>
      </c>
      <c r="HK94" s="145">
        <f t="shared" si="77"/>
        <v>0</v>
      </c>
      <c r="HL94" s="145">
        <f t="shared" si="77"/>
        <v>0.4</v>
      </c>
      <c r="HM94" s="145">
        <f t="shared" ref="HM94:IB96" si="78">(S94-R94)/R94</f>
        <v>0</v>
      </c>
      <c r="HN94" s="145">
        <f t="shared" si="78"/>
        <v>0</v>
      </c>
      <c r="HO94" s="145">
        <f t="shared" si="78"/>
        <v>-0.2857142857142857</v>
      </c>
      <c r="HP94" s="145">
        <f t="shared" si="78"/>
        <v>0</v>
      </c>
      <c r="HQ94" s="145">
        <f t="shared" si="78"/>
        <v>0</v>
      </c>
      <c r="HR94" s="145">
        <f t="shared" si="78"/>
        <v>-0.4</v>
      </c>
      <c r="HS94" s="145">
        <f t="shared" si="78"/>
        <v>-0.33333333333333331</v>
      </c>
      <c r="HT94" s="145">
        <f t="shared" si="78"/>
        <v>0.5</v>
      </c>
      <c r="HU94" s="145">
        <f t="shared" si="78"/>
        <v>-0.33333333333333331</v>
      </c>
      <c r="HV94" s="145">
        <f t="shared" si="78"/>
        <v>-0.5</v>
      </c>
      <c r="HW94" s="145">
        <f t="shared" si="78"/>
        <v>2</v>
      </c>
      <c r="HX94" s="145">
        <f t="shared" si="78"/>
        <v>0.33333333333333331</v>
      </c>
      <c r="HY94" s="145">
        <f t="shared" si="78"/>
        <v>-1</v>
      </c>
      <c r="HZ94" s="145" t="e">
        <f t="shared" si="78"/>
        <v>#DIV/0!</v>
      </c>
      <c r="IA94" s="145">
        <f t="shared" si="78"/>
        <v>0.5</v>
      </c>
      <c r="IB94" s="145">
        <f t="shared" si="78"/>
        <v>0</v>
      </c>
      <c r="IC94" s="145">
        <f t="shared" ref="IC94:IR96" si="79">(AI94-AH94)/AH94</f>
        <v>-0.33333333333333331</v>
      </c>
      <c r="ID94" s="145">
        <f t="shared" si="79"/>
        <v>-0.25</v>
      </c>
      <c r="IE94" s="145">
        <f t="shared" si="79"/>
        <v>1</v>
      </c>
      <c r="IF94" s="145">
        <f t="shared" si="79"/>
        <v>-0.33333333333333331</v>
      </c>
      <c r="IG94" s="145">
        <f t="shared" si="79"/>
        <v>0.5</v>
      </c>
      <c r="IH94" s="145">
        <f t="shared" si="79"/>
        <v>0.16666666666666666</v>
      </c>
      <c r="II94" s="145">
        <f t="shared" si="79"/>
        <v>-0.7142857142857143</v>
      </c>
      <c r="IJ94" s="145">
        <f t="shared" si="79"/>
        <v>0.5</v>
      </c>
      <c r="IK94" s="145">
        <f t="shared" si="79"/>
        <v>0.33333333333333331</v>
      </c>
      <c r="IL94" s="145">
        <f t="shared" si="79"/>
        <v>0.25</v>
      </c>
      <c r="IM94" s="145">
        <f t="shared" si="79"/>
        <v>0.2</v>
      </c>
      <c r="IN94" s="145">
        <f t="shared" si="79"/>
        <v>0.16666666666666666</v>
      </c>
      <c r="IO94" s="145">
        <f t="shared" si="79"/>
        <v>-0.7142857142857143</v>
      </c>
      <c r="IP94" s="145">
        <f t="shared" si="79"/>
        <v>0</v>
      </c>
      <c r="IQ94" s="145">
        <f t="shared" si="79"/>
        <v>0</v>
      </c>
      <c r="IR94" s="145">
        <f t="shared" si="79"/>
        <v>-0.5</v>
      </c>
      <c r="IS94" s="145">
        <f t="shared" ref="IS94:JH96" si="80">(AY94-AX94)/AX94</f>
        <v>1</v>
      </c>
      <c r="IT94" s="145">
        <f t="shared" si="80"/>
        <v>0</v>
      </c>
      <c r="IU94" s="145">
        <f t="shared" si="80"/>
        <v>-0.5</v>
      </c>
      <c r="IV94" s="145">
        <f t="shared" si="80"/>
        <v>1</v>
      </c>
      <c r="IW94" s="145">
        <f t="shared" si="80"/>
        <v>0.5</v>
      </c>
      <c r="IX94" s="145">
        <f t="shared" si="80"/>
        <v>0</v>
      </c>
      <c r="IY94" s="145">
        <f t="shared" si="80"/>
        <v>1.3333333333333333</v>
      </c>
      <c r="IZ94" s="145">
        <f t="shared" si="80"/>
        <v>-0.8571428571428571</v>
      </c>
      <c r="JA94" s="145">
        <f t="shared" si="80"/>
        <v>-1</v>
      </c>
      <c r="JB94" s="145" t="e">
        <f t="shared" si="80"/>
        <v>#DIV/0!</v>
      </c>
      <c r="JC94" s="145" t="e">
        <f t="shared" si="80"/>
        <v>#DIV/0!</v>
      </c>
      <c r="JD94" s="145">
        <f t="shared" si="80"/>
        <v>-0.33333333333333331</v>
      </c>
      <c r="JE94" s="145">
        <f t="shared" si="80"/>
        <v>-0.5</v>
      </c>
      <c r="JF94" s="145">
        <f t="shared" si="80"/>
        <v>0</v>
      </c>
      <c r="JG94" s="145">
        <f t="shared" si="80"/>
        <v>1</v>
      </c>
      <c r="JH94" s="145">
        <f t="shared" si="80"/>
        <v>0</v>
      </c>
      <c r="JI94" s="145">
        <f t="shared" ref="JI94:JX96" si="81">(BO94-BN94)/BN94</f>
        <v>0.5</v>
      </c>
      <c r="JJ94" s="145">
        <f t="shared" si="81"/>
        <v>0</v>
      </c>
      <c r="JK94" s="145">
        <f t="shared" si="81"/>
        <v>-0.33333333333333331</v>
      </c>
      <c r="JL94" s="145">
        <f t="shared" si="81"/>
        <v>-0.5</v>
      </c>
      <c r="JM94" s="145">
        <f t="shared" si="81"/>
        <v>3</v>
      </c>
      <c r="JN94" s="145">
        <f t="shared" si="81"/>
        <v>0</v>
      </c>
      <c r="JO94" s="145">
        <f t="shared" si="81"/>
        <v>-1</v>
      </c>
      <c r="JP94" s="145" t="e">
        <f t="shared" si="81"/>
        <v>#DIV/0!</v>
      </c>
      <c r="JQ94" s="145">
        <f t="shared" si="81"/>
        <v>0.33333333333333331</v>
      </c>
      <c r="JR94" s="145">
        <f t="shared" si="81"/>
        <v>0.75</v>
      </c>
      <c r="JS94" s="145">
        <f t="shared" si="81"/>
        <v>-0.2857142857142857</v>
      </c>
      <c r="JT94" s="145">
        <f t="shared" si="81"/>
        <v>-0.2</v>
      </c>
      <c r="JU94" s="145">
        <f t="shared" si="81"/>
        <v>0.75</v>
      </c>
      <c r="JV94" s="145">
        <f t="shared" si="81"/>
        <v>0.14285714285714285</v>
      </c>
      <c r="JW94" s="145">
        <f t="shared" si="81"/>
        <v>-0.125</v>
      </c>
      <c r="JX94" s="145">
        <f t="shared" si="81"/>
        <v>0</v>
      </c>
      <c r="JY94" s="145">
        <f t="shared" ref="JY94:KN96" si="82">(CE94-CD94)/CD94</f>
        <v>-0.14285714285714285</v>
      </c>
      <c r="JZ94" s="145">
        <f t="shared" si="82"/>
        <v>0</v>
      </c>
      <c r="KA94" s="145">
        <f t="shared" si="82"/>
        <v>-0.5</v>
      </c>
      <c r="KB94" s="145">
        <f t="shared" si="82"/>
        <v>0</v>
      </c>
      <c r="KC94" s="145">
        <f t="shared" si="82"/>
        <v>1</v>
      </c>
      <c r="KD94" s="145">
        <f t="shared" si="82"/>
        <v>0</v>
      </c>
      <c r="KE94" s="145">
        <f t="shared" si="82"/>
        <v>-0.33333333333333331</v>
      </c>
      <c r="KF94" s="145">
        <f t="shared" si="82"/>
        <v>-0.5</v>
      </c>
      <c r="KG94" s="145">
        <f t="shared" si="82"/>
        <v>1.5</v>
      </c>
      <c r="KH94" s="145">
        <f t="shared" si="82"/>
        <v>1.4</v>
      </c>
      <c r="KI94" s="145">
        <f t="shared" si="82"/>
        <v>-8.3333333333333329E-2</v>
      </c>
      <c r="KJ94" s="145">
        <f t="shared" si="82"/>
        <v>-0.18181818181818182</v>
      </c>
      <c r="KK94" s="145">
        <f t="shared" si="82"/>
        <v>0</v>
      </c>
      <c r="KL94" s="145">
        <f t="shared" si="82"/>
        <v>-0.44444444444444442</v>
      </c>
      <c r="KM94" s="145">
        <f t="shared" si="82"/>
        <v>0</v>
      </c>
      <c r="KN94" s="145">
        <f t="shared" si="82"/>
        <v>0</v>
      </c>
      <c r="KO94" s="145">
        <f t="shared" ref="KO94:LD96" si="83">(CU94-CT94)/CT94</f>
        <v>0</v>
      </c>
      <c r="KP94" s="145">
        <f t="shared" si="83"/>
        <v>0</v>
      </c>
      <c r="KQ94" s="145">
        <f t="shared" si="83"/>
        <v>0</v>
      </c>
      <c r="KR94" s="145">
        <f t="shared" si="83"/>
        <v>0.2</v>
      </c>
      <c r="KS94" s="145">
        <f t="shared" si="83"/>
        <v>-0.16666666666666666</v>
      </c>
      <c r="KT94" s="145">
        <f t="shared" si="83"/>
        <v>0</v>
      </c>
      <c r="KU94" s="145">
        <f t="shared" si="83"/>
        <v>1.2</v>
      </c>
      <c r="KV94" s="145">
        <f t="shared" si="83"/>
        <v>-9.0909090909090912E-2</v>
      </c>
      <c r="KW94" s="145">
        <f t="shared" si="83"/>
        <v>-0.4</v>
      </c>
      <c r="KX94" s="145">
        <f t="shared" si="83"/>
        <v>0.16666666666666666</v>
      </c>
      <c r="KY94" s="145">
        <f t="shared" si="83"/>
        <v>0.14285714285714285</v>
      </c>
      <c r="KZ94" s="145">
        <f t="shared" si="83"/>
        <v>-0.375</v>
      </c>
      <c r="LA94" s="145">
        <f t="shared" si="83"/>
        <v>-0.6</v>
      </c>
      <c r="LB94" s="145">
        <f t="shared" si="83"/>
        <v>0.5</v>
      </c>
      <c r="LC94" s="145">
        <f t="shared" si="83"/>
        <v>-0.33333333333333331</v>
      </c>
      <c r="LD94" s="145">
        <f t="shared" si="83"/>
        <v>0</v>
      </c>
      <c r="LE94" s="145">
        <f t="shared" si="71"/>
        <v>4.5</v>
      </c>
      <c r="LF94" s="145">
        <f t="shared" si="71"/>
        <v>-0.63636363636363635</v>
      </c>
      <c r="LG94" s="145">
        <f t="shared" si="71"/>
        <v>1</v>
      </c>
      <c r="LH94" s="145">
        <f t="shared" si="71"/>
        <v>-0.625</v>
      </c>
      <c r="LI94" s="145">
        <f t="shared" si="71"/>
        <v>0</v>
      </c>
      <c r="LJ94" s="145">
        <f t="shared" si="71"/>
        <v>1</v>
      </c>
      <c r="LK94" s="145">
        <f t="shared" si="71"/>
        <v>-0.5</v>
      </c>
      <c r="LL94" s="145">
        <f t="shared" si="71"/>
        <v>0</v>
      </c>
      <c r="LM94" s="145">
        <f t="shared" si="71"/>
        <v>1.6666666666666667</v>
      </c>
      <c r="LN94" s="145">
        <f t="shared" si="71"/>
        <v>-0.5</v>
      </c>
      <c r="LO94" s="145">
        <f t="shared" si="71"/>
        <v>0.75</v>
      </c>
      <c r="LP94" s="145">
        <f t="shared" si="71"/>
        <v>-0.5714285714285714</v>
      </c>
      <c r="LQ94" s="145">
        <f t="shared" si="71"/>
        <v>1</v>
      </c>
      <c r="LR94" s="145">
        <f t="shared" si="71"/>
        <v>0.16666666666666666</v>
      </c>
      <c r="LS94" s="145">
        <f t="shared" si="71"/>
        <v>0</v>
      </c>
      <c r="LT94" s="145">
        <f t="shared" si="71"/>
        <v>0</v>
      </c>
      <c r="LU94" s="145">
        <f t="shared" si="72"/>
        <v>-0.5714285714285714</v>
      </c>
      <c r="LV94" s="145">
        <f t="shared" si="72"/>
        <v>0.33333333333333331</v>
      </c>
      <c r="LW94" s="145">
        <f t="shared" si="72"/>
        <v>-0.75</v>
      </c>
      <c r="LX94" s="145">
        <f t="shared" si="72"/>
        <v>-1</v>
      </c>
      <c r="LY94" s="145" t="e">
        <f t="shared" si="72"/>
        <v>#DIV/0!</v>
      </c>
      <c r="LZ94" s="145">
        <f t="shared" si="72"/>
        <v>1</v>
      </c>
      <c r="MA94" s="145">
        <f t="shared" si="72"/>
        <v>0.5</v>
      </c>
      <c r="MB94" s="145">
        <f t="shared" si="72"/>
        <v>1.6666666666666667</v>
      </c>
      <c r="MC94" s="145">
        <f t="shared" si="72"/>
        <v>0.25</v>
      </c>
      <c r="MD94" s="145">
        <f t="shared" si="72"/>
        <v>0</v>
      </c>
      <c r="ME94" s="145">
        <f t="shared" si="72"/>
        <v>-0.5</v>
      </c>
      <c r="MF94" s="145">
        <f t="shared" si="72"/>
        <v>0.4</v>
      </c>
      <c r="MG94" s="145">
        <f t="shared" si="72"/>
        <v>-0.2857142857142857</v>
      </c>
      <c r="MH94" s="145">
        <f t="shared" si="72"/>
        <v>-0.2</v>
      </c>
      <c r="MI94" s="145">
        <f t="shared" si="72"/>
        <v>-0.25</v>
      </c>
      <c r="MJ94" s="145">
        <f t="shared" si="72"/>
        <v>1.3333333333333333</v>
      </c>
      <c r="MK94" s="145">
        <f t="shared" si="72"/>
        <v>-0.14285714285714285</v>
      </c>
      <c r="ML94" s="145">
        <f t="shared" si="72"/>
        <v>0.33333333333333331</v>
      </c>
      <c r="MM94" s="145">
        <f t="shared" si="72"/>
        <v>-0.25</v>
      </c>
      <c r="MN94" s="145">
        <f t="shared" si="72"/>
        <v>-0.16666666666666666</v>
      </c>
      <c r="MO94" s="145">
        <f t="shared" si="72"/>
        <v>0.8</v>
      </c>
      <c r="MP94" s="145">
        <f t="shared" si="72"/>
        <v>-0.1111111111111111</v>
      </c>
      <c r="MQ94" s="145">
        <f t="shared" si="72"/>
        <v>-0.25</v>
      </c>
      <c r="MR94" s="145">
        <f t="shared" si="72"/>
        <v>0.5</v>
      </c>
      <c r="MS94" s="145">
        <f>(EZ94-EY94)/EY94</f>
        <v>7.1428571428571425E-2</v>
      </c>
      <c r="MT94" s="145">
        <f t="shared" si="73"/>
        <v>6.6666666666666666E-2</v>
      </c>
      <c r="MU94" s="145">
        <f t="shared" si="73"/>
        <v>-0.25</v>
      </c>
      <c r="MV94" s="145">
        <f t="shared" si="73"/>
        <v>0.2</v>
      </c>
      <c r="MW94" s="145">
        <f t="shared" si="73"/>
        <v>0.11764705882352941</v>
      </c>
      <c r="MX94" s="145">
        <f t="shared" si="73"/>
        <v>0.10526315789473684</v>
      </c>
      <c r="MY94" s="145">
        <f t="shared" si="73"/>
        <v>0.36666666666666664</v>
      </c>
      <c r="MZ94" s="145">
        <f t="shared" si="73"/>
        <v>-7.1428571428571425E-2</v>
      </c>
      <c r="NA94" s="145">
        <f t="shared" si="73"/>
        <v>-3.7037037037037035E-2</v>
      </c>
      <c r="NB94" s="145">
        <f t="shared" si="73"/>
        <v>0.1</v>
      </c>
      <c r="NC94" s="145">
        <f t="shared" si="73"/>
        <v>-0.15384615384615385</v>
      </c>
      <c r="ND94" s="145">
        <f t="shared" si="73"/>
        <v>0.21212121212121213</v>
      </c>
      <c r="NE94" s="145">
        <f t="shared" si="73"/>
        <v>0</v>
      </c>
      <c r="NF94" s="145">
        <f t="shared" si="73"/>
        <v>-6.4516129032258063E-2</v>
      </c>
      <c r="NG94" s="145">
        <f t="shared" si="73"/>
        <v>0.11428571428571428</v>
      </c>
      <c r="NH94" s="145">
        <f t="shared" si="73"/>
        <v>0.18604651162790697</v>
      </c>
      <c r="NI94" s="145">
        <f t="shared" si="73"/>
        <v>-7.4999999999999997E-2</v>
      </c>
      <c r="NJ94" s="145">
        <f t="shared" si="74"/>
        <v>0.18367346938775511</v>
      </c>
      <c r="NK94" s="145">
        <f t="shared" si="74"/>
        <v>-8.8888888888888892E-2</v>
      </c>
      <c r="NL94" s="145">
        <f t="shared" si="74"/>
        <v>-7.1428571428571425E-2</v>
      </c>
      <c r="NM94" s="145">
        <f t="shared" si="74"/>
        <v>0.125</v>
      </c>
      <c r="NN94" s="145">
        <f t="shared" si="74"/>
        <v>0.26153846153846155</v>
      </c>
      <c r="NO94" s="145">
        <f t="shared" si="74"/>
        <v>-8.3333333333333329E-2</v>
      </c>
      <c r="NP94" s="145">
        <f t="shared" si="74"/>
        <v>-9.0909090909090912E-2</v>
      </c>
      <c r="NQ94" s="145">
        <f t="shared" si="74"/>
        <v>-0.25</v>
      </c>
      <c r="NR94" s="145">
        <f t="shared" si="74"/>
        <v>-0.33333333333333331</v>
      </c>
      <c r="NS94" s="145">
        <f t="shared" si="74"/>
        <v>-6.4516129032258063E-2</v>
      </c>
      <c r="NT94" s="145">
        <f t="shared" si="74"/>
        <v>-0.10714285714285714</v>
      </c>
      <c r="NU94" s="145">
        <f t="shared" si="74"/>
        <v>6.6666666666666666E-2</v>
      </c>
      <c r="NV94" s="145">
        <f t="shared" si="74"/>
        <v>-0.2</v>
      </c>
      <c r="NW94" s="145">
        <f t="shared" si="74"/>
        <v>-0.31578947368421051</v>
      </c>
      <c r="NX94" s="145">
        <f t="shared" si="75"/>
        <v>0.26923076923076922</v>
      </c>
      <c r="NY94" s="145">
        <f t="shared" si="75"/>
        <v>0.1875</v>
      </c>
      <c r="NZ94" s="145">
        <f t="shared" si="75"/>
        <v>-0.10344827586206896</v>
      </c>
      <c r="OA94" s="145">
        <f t="shared" si="75"/>
        <v>0.12121212121212122</v>
      </c>
      <c r="OB94" s="145">
        <f t="shared" si="75"/>
        <v>0.1951219512195122</v>
      </c>
      <c r="OC94" s="145">
        <f t="shared" si="75"/>
        <v>-0.41379310344827586</v>
      </c>
      <c r="OD94" s="145">
        <f t="shared" si="75"/>
        <v>-0.38095238095238093</v>
      </c>
      <c r="OE94" s="145">
        <f t="shared" si="75"/>
        <v>0.25</v>
      </c>
      <c r="OF94" s="145">
        <f t="shared" si="75"/>
        <v>0.15151515151515152</v>
      </c>
      <c r="OG94" s="145">
        <f t="shared" si="75"/>
        <v>-0.43478260869565216</v>
      </c>
      <c r="OH94" s="145">
        <f t="shared" si="75"/>
        <v>0.3235294117647059</v>
      </c>
      <c r="OI94" s="145">
        <f t="shared" si="75"/>
        <v>-0.47826086956521741</v>
      </c>
      <c r="OJ94" s="145">
        <f t="shared" si="75"/>
        <v>0</v>
      </c>
      <c r="OK94" s="145">
        <f t="shared" si="75"/>
        <v>0.28125</v>
      </c>
      <c r="OL94" s="145">
        <f t="shared" si="75"/>
        <v>0.2558139534883721</v>
      </c>
    </row>
    <row r="95" spans="1:402" s="145" customFormat="1" ht="19.5" customHeight="1" x14ac:dyDescent="0.35">
      <c r="A95" s="12" t="s">
        <v>33</v>
      </c>
      <c r="B95" s="156">
        <v>2</v>
      </c>
      <c r="C95" s="156">
        <v>4</v>
      </c>
      <c r="D95" s="156">
        <v>1</v>
      </c>
      <c r="E95" s="156">
        <v>2</v>
      </c>
      <c r="F95" s="156">
        <f>'[1]Jan 08'!C41</f>
        <v>2</v>
      </c>
      <c r="G95" s="143">
        <f>'[1]Feb 08'!C41</f>
        <v>4</v>
      </c>
      <c r="H95" s="143">
        <f>'[1]Mar 08'!C41</f>
        <v>8</v>
      </c>
      <c r="I95" s="143">
        <v>11</v>
      </c>
      <c r="J95" s="143">
        <f>'[1]May 08'!C41</f>
        <v>4</v>
      </c>
      <c r="K95" s="143">
        <f>'[1]Jun 08'!C41</f>
        <v>3</v>
      </c>
      <c r="L95" s="143">
        <f>'[1]Jul 08'!C41</f>
        <v>2</v>
      </c>
      <c r="M95" s="143">
        <f>'[1]Aug 08'!C41</f>
        <v>4</v>
      </c>
      <c r="N95" s="143">
        <v>6</v>
      </c>
      <c r="O95" s="143">
        <v>1</v>
      </c>
      <c r="P95" s="143">
        <v>7</v>
      </c>
      <c r="Q95" s="143">
        <v>7</v>
      </c>
      <c r="R95" s="143">
        <v>2</v>
      </c>
      <c r="S95" s="143">
        <v>3</v>
      </c>
      <c r="T95" s="143">
        <v>6</v>
      </c>
      <c r="U95" s="143">
        <v>5</v>
      </c>
      <c r="V95" s="143">
        <v>4</v>
      </c>
      <c r="W95" s="143">
        <v>2</v>
      </c>
      <c r="X95" s="143">
        <v>2</v>
      </c>
      <c r="Y95" s="143">
        <v>2</v>
      </c>
      <c r="Z95" s="143">
        <v>0</v>
      </c>
      <c r="AA95" s="143">
        <v>3</v>
      </c>
      <c r="AB95" s="143">
        <v>2</v>
      </c>
      <c r="AC95" s="143">
        <v>1</v>
      </c>
      <c r="AD95" s="143">
        <v>4</v>
      </c>
      <c r="AE95" s="143">
        <v>3</v>
      </c>
      <c r="AF95" s="143">
        <v>2</v>
      </c>
      <c r="AG95" s="143">
        <v>4</v>
      </c>
      <c r="AH95" s="143">
        <v>6</v>
      </c>
      <c r="AI95" s="143">
        <v>4</v>
      </c>
      <c r="AJ95" s="143">
        <v>3</v>
      </c>
      <c r="AK95" s="143">
        <v>2</v>
      </c>
      <c r="AL95" s="143">
        <v>2</v>
      </c>
      <c r="AM95" s="143">
        <v>1</v>
      </c>
      <c r="AN95" s="143">
        <v>1</v>
      </c>
      <c r="AO95" s="143">
        <v>7</v>
      </c>
      <c r="AP95" s="143">
        <v>1</v>
      </c>
      <c r="AQ95" s="143">
        <v>2</v>
      </c>
      <c r="AR95" s="143">
        <v>4</v>
      </c>
      <c r="AS95" s="143">
        <v>3</v>
      </c>
      <c r="AT95" s="143">
        <v>4</v>
      </c>
      <c r="AU95" s="143">
        <v>7</v>
      </c>
      <c r="AV95" s="143">
        <v>0</v>
      </c>
      <c r="AW95" s="143">
        <v>1</v>
      </c>
      <c r="AX95" s="143">
        <v>2</v>
      </c>
      <c r="AY95" s="143">
        <v>3</v>
      </c>
      <c r="AZ95" s="143">
        <v>2</v>
      </c>
      <c r="BA95" s="143">
        <v>4</v>
      </c>
      <c r="BB95" s="143">
        <v>0</v>
      </c>
      <c r="BC95" s="143">
        <v>1</v>
      </c>
      <c r="BD95" s="143">
        <v>3</v>
      </c>
      <c r="BE95" s="143">
        <v>1</v>
      </c>
      <c r="BF95" s="143">
        <v>8</v>
      </c>
      <c r="BG95" s="143">
        <v>3</v>
      </c>
      <c r="BH95" s="143">
        <v>1</v>
      </c>
      <c r="BI95" s="143">
        <v>2</v>
      </c>
      <c r="BJ95" s="143">
        <v>1</v>
      </c>
      <c r="BK95" s="143">
        <v>2</v>
      </c>
      <c r="BL95" s="143">
        <v>2</v>
      </c>
      <c r="BM95" s="143">
        <v>4</v>
      </c>
      <c r="BN95" s="143">
        <v>0</v>
      </c>
      <c r="BO95" s="143">
        <v>2</v>
      </c>
      <c r="BP95" s="143">
        <v>2</v>
      </c>
      <c r="BQ95" s="143">
        <v>3</v>
      </c>
      <c r="BR95" s="143">
        <v>2</v>
      </c>
      <c r="BS95" s="143">
        <v>0</v>
      </c>
      <c r="BT95" s="143">
        <v>3</v>
      </c>
      <c r="BU95" s="143">
        <v>4</v>
      </c>
      <c r="BV95" s="143">
        <v>2</v>
      </c>
      <c r="BW95" s="143">
        <v>3</v>
      </c>
      <c r="BX95" s="143">
        <v>2</v>
      </c>
      <c r="BY95" s="143">
        <v>3</v>
      </c>
      <c r="BZ95" s="143">
        <v>4</v>
      </c>
      <c r="CA95" s="143">
        <v>1</v>
      </c>
      <c r="CB95" s="143">
        <v>3</v>
      </c>
      <c r="CC95" s="143">
        <v>4</v>
      </c>
      <c r="CD95" s="143">
        <v>5</v>
      </c>
      <c r="CE95" s="143">
        <v>4</v>
      </c>
      <c r="CF95" s="143">
        <v>1</v>
      </c>
      <c r="CG95" s="143">
        <v>5</v>
      </c>
      <c r="CH95" s="143">
        <v>3</v>
      </c>
      <c r="CI95" s="143">
        <v>1</v>
      </c>
      <c r="CJ95" s="143">
        <v>3</v>
      </c>
      <c r="CK95" s="143">
        <v>6</v>
      </c>
      <c r="CL95" s="143">
        <v>3</v>
      </c>
      <c r="CM95" s="143">
        <v>4</v>
      </c>
      <c r="CN95" s="143">
        <v>3</v>
      </c>
      <c r="CO95" s="143">
        <v>10</v>
      </c>
      <c r="CP95" s="143">
        <v>6</v>
      </c>
      <c r="CQ95" s="143">
        <v>8</v>
      </c>
      <c r="CR95" s="143">
        <v>1</v>
      </c>
      <c r="CS95" s="143">
        <v>0</v>
      </c>
      <c r="CT95" s="143">
        <v>2</v>
      </c>
      <c r="CU95" s="143">
        <v>2</v>
      </c>
      <c r="CV95" s="143">
        <v>5</v>
      </c>
      <c r="CW95" s="143">
        <v>3</v>
      </c>
      <c r="CX95" s="143">
        <v>6</v>
      </c>
      <c r="CY95" s="143">
        <v>3</v>
      </c>
      <c r="CZ95" s="143">
        <v>5</v>
      </c>
      <c r="DA95" s="143">
        <v>2</v>
      </c>
      <c r="DB95" s="143">
        <v>7</v>
      </c>
      <c r="DC95" s="143">
        <v>4</v>
      </c>
      <c r="DD95" s="143">
        <v>4</v>
      </c>
      <c r="DE95" s="143">
        <v>3</v>
      </c>
      <c r="DF95" s="143">
        <v>4</v>
      </c>
      <c r="DG95" s="143">
        <v>7</v>
      </c>
      <c r="DH95" s="143">
        <v>2</v>
      </c>
      <c r="DI95" s="143">
        <v>2</v>
      </c>
      <c r="DJ95" s="143">
        <v>1</v>
      </c>
      <c r="DK95" s="143">
        <v>13</v>
      </c>
      <c r="DL95" s="143">
        <v>7</v>
      </c>
      <c r="DM95" s="143">
        <v>10</v>
      </c>
      <c r="DN95" s="143">
        <v>12</v>
      </c>
      <c r="DO95" s="143">
        <v>6</v>
      </c>
      <c r="DP95" s="143">
        <v>1</v>
      </c>
      <c r="DQ95" s="143">
        <v>5</v>
      </c>
      <c r="DR95" s="143">
        <v>2</v>
      </c>
      <c r="DS95" s="143">
        <v>2</v>
      </c>
      <c r="DT95" s="143">
        <v>7</v>
      </c>
      <c r="DU95" s="143">
        <v>3</v>
      </c>
      <c r="DV95" s="143">
        <v>7</v>
      </c>
      <c r="DW95" s="143">
        <v>2</v>
      </c>
      <c r="DX95" s="143">
        <v>5</v>
      </c>
      <c r="DY95" s="143">
        <v>7</v>
      </c>
      <c r="DZ95" s="143">
        <v>16</v>
      </c>
      <c r="EA95" s="143">
        <v>8</v>
      </c>
      <c r="EB95" s="143">
        <v>2</v>
      </c>
      <c r="EC95" s="143">
        <v>3</v>
      </c>
      <c r="ED95" s="143">
        <v>3</v>
      </c>
      <c r="EE95" s="143">
        <v>2</v>
      </c>
      <c r="EF95" s="143">
        <v>2</v>
      </c>
      <c r="EG95" s="143">
        <v>3</v>
      </c>
      <c r="EH95" s="143">
        <v>2</v>
      </c>
      <c r="EI95" s="143">
        <v>8</v>
      </c>
      <c r="EJ95" s="143">
        <v>8</v>
      </c>
      <c r="EK95" s="143">
        <v>10</v>
      </c>
      <c r="EL95" s="143">
        <v>12</v>
      </c>
      <c r="EM95" s="143">
        <v>10</v>
      </c>
      <c r="EN95" s="143">
        <v>3</v>
      </c>
      <c r="EO95" s="143">
        <v>2</v>
      </c>
      <c r="EP95" s="143">
        <v>0</v>
      </c>
      <c r="EQ95" s="143">
        <v>6</v>
      </c>
      <c r="ER95" s="143">
        <v>6</v>
      </c>
      <c r="ES95" s="143">
        <v>9</v>
      </c>
      <c r="ET95" s="143">
        <v>9</v>
      </c>
      <c r="EU95" s="143">
        <v>9</v>
      </c>
      <c r="EV95" s="143">
        <v>9</v>
      </c>
      <c r="EW95" s="143">
        <v>6</v>
      </c>
      <c r="EX95" s="143">
        <v>3</v>
      </c>
      <c r="EY95" s="143">
        <v>7</v>
      </c>
      <c r="EZ95" s="143">
        <v>12</v>
      </c>
      <c r="FA95" s="143">
        <v>14</v>
      </c>
      <c r="FB95" s="143">
        <v>13</v>
      </c>
      <c r="FC95" s="143">
        <v>15</v>
      </c>
      <c r="FD95" s="143">
        <v>24</v>
      </c>
      <c r="FE95" s="143">
        <v>23</v>
      </c>
      <c r="FF95" s="143">
        <v>30</v>
      </c>
      <c r="FG95" s="143">
        <v>32</v>
      </c>
      <c r="FH95" s="143">
        <v>32</v>
      </c>
      <c r="FI95" s="143">
        <v>23</v>
      </c>
      <c r="FJ95" s="143">
        <v>33</v>
      </c>
      <c r="FK95" s="143">
        <v>29</v>
      </c>
      <c r="FL95" s="143">
        <v>24</v>
      </c>
      <c r="FM95" s="143">
        <v>13</v>
      </c>
      <c r="FN95" s="143">
        <v>19</v>
      </c>
      <c r="FO95" s="143">
        <v>24</v>
      </c>
      <c r="FP95" s="143">
        <v>18</v>
      </c>
      <c r="FQ95" s="143">
        <v>34</v>
      </c>
      <c r="FR95" s="143">
        <v>23</v>
      </c>
      <c r="FS95" s="143">
        <v>28</v>
      </c>
      <c r="FT95" s="143">
        <v>37</v>
      </c>
      <c r="FU95" s="143">
        <v>39</v>
      </c>
      <c r="FV95" s="143">
        <v>42</v>
      </c>
      <c r="FW95" s="143">
        <v>33</v>
      </c>
      <c r="FX95" s="143">
        <v>20</v>
      </c>
      <c r="FY95" s="143">
        <v>32</v>
      </c>
      <c r="FZ95" s="143">
        <v>12</v>
      </c>
      <c r="GA95" s="143">
        <v>21</v>
      </c>
      <c r="GB95" s="143">
        <v>22</v>
      </c>
      <c r="GC95" s="143">
        <v>17</v>
      </c>
      <c r="GD95" s="143">
        <v>13</v>
      </c>
      <c r="GE95" s="143">
        <v>23</v>
      </c>
      <c r="GF95" s="143">
        <v>36</v>
      </c>
      <c r="GG95" s="143">
        <v>20</v>
      </c>
      <c r="GH95" s="143">
        <v>40</v>
      </c>
      <c r="GI95" s="143">
        <v>44</v>
      </c>
      <c r="GJ95" s="143">
        <v>25</v>
      </c>
      <c r="GK95" s="143">
        <v>19</v>
      </c>
      <c r="GL95" s="143">
        <v>19</v>
      </c>
      <c r="GM95" s="143">
        <v>29</v>
      </c>
      <c r="GN95" s="143">
        <v>16</v>
      </c>
      <c r="GO95" s="143">
        <v>34</v>
      </c>
      <c r="GP95" s="143">
        <v>21</v>
      </c>
      <c r="GQ95" s="143">
        <v>21</v>
      </c>
      <c r="GR95" s="143">
        <v>36</v>
      </c>
      <c r="GS95" s="143">
        <f t="shared" si="76"/>
        <v>27</v>
      </c>
      <c r="GT95" s="152"/>
      <c r="GU95" s="12" t="s">
        <v>33</v>
      </c>
      <c r="GV95" s="145" t="s">
        <v>30</v>
      </c>
      <c r="GW95" s="145">
        <f t="shared" si="77"/>
        <v>1</v>
      </c>
      <c r="GX95" s="145">
        <f t="shared" si="77"/>
        <v>-0.75</v>
      </c>
      <c r="GY95" s="145">
        <f t="shared" si="77"/>
        <v>1</v>
      </c>
      <c r="GZ95" s="145">
        <f t="shared" si="77"/>
        <v>0</v>
      </c>
      <c r="HA95" s="145">
        <f t="shared" si="77"/>
        <v>1</v>
      </c>
      <c r="HB95" s="145">
        <f t="shared" si="77"/>
        <v>1</v>
      </c>
      <c r="HC95" s="145">
        <f t="shared" si="77"/>
        <v>0.375</v>
      </c>
      <c r="HD95" s="145">
        <f t="shared" si="77"/>
        <v>-0.63636363636363635</v>
      </c>
      <c r="HE95" s="145">
        <f t="shared" si="77"/>
        <v>-0.25</v>
      </c>
      <c r="HF95" s="145">
        <f t="shared" si="77"/>
        <v>-0.33333333333333331</v>
      </c>
      <c r="HG95" s="145">
        <f t="shared" si="77"/>
        <v>1</v>
      </c>
      <c r="HH95" s="145">
        <f t="shared" si="77"/>
        <v>0.5</v>
      </c>
      <c r="HI95" s="145">
        <f t="shared" si="77"/>
        <v>-0.83333333333333337</v>
      </c>
      <c r="HJ95" s="145">
        <f t="shared" si="77"/>
        <v>6</v>
      </c>
      <c r="HK95" s="145">
        <f t="shared" si="77"/>
        <v>0</v>
      </c>
      <c r="HL95" s="145">
        <f t="shared" si="77"/>
        <v>-0.7142857142857143</v>
      </c>
      <c r="HM95" s="145">
        <f t="shared" si="78"/>
        <v>0.5</v>
      </c>
      <c r="HN95" s="145">
        <f t="shared" si="78"/>
        <v>1</v>
      </c>
      <c r="HO95" s="145">
        <f t="shared" si="78"/>
        <v>-0.16666666666666666</v>
      </c>
      <c r="HP95" s="145">
        <f t="shared" si="78"/>
        <v>-0.2</v>
      </c>
      <c r="HQ95" s="145">
        <f t="shared" si="78"/>
        <v>-0.5</v>
      </c>
      <c r="HR95" s="145">
        <f t="shared" si="78"/>
        <v>0</v>
      </c>
      <c r="HS95" s="145">
        <f t="shared" si="78"/>
        <v>0</v>
      </c>
      <c r="HT95" s="145">
        <f t="shared" si="78"/>
        <v>-1</v>
      </c>
      <c r="HU95" s="145" t="e">
        <f t="shared" si="78"/>
        <v>#DIV/0!</v>
      </c>
      <c r="HV95" s="145">
        <f t="shared" si="78"/>
        <v>-0.33333333333333331</v>
      </c>
      <c r="HW95" s="145">
        <f t="shared" si="78"/>
        <v>-0.5</v>
      </c>
      <c r="HX95" s="145">
        <f t="shared" si="78"/>
        <v>3</v>
      </c>
      <c r="HY95" s="145">
        <f t="shared" si="78"/>
        <v>-0.25</v>
      </c>
      <c r="HZ95" s="145">
        <f t="shared" si="78"/>
        <v>-0.33333333333333331</v>
      </c>
      <c r="IA95" s="145">
        <f t="shared" si="78"/>
        <v>1</v>
      </c>
      <c r="IB95" s="145">
        <f t="shared" si="78"/>
        <v>0.5</v>
      </c>
      <c r="IC95" s="145">
        <f t="shared" si="79"/>
        <v>-0.33333333333333331</v>
      </c>
      <c r="ID95" s="145">
        <f t="shared" si="79"/>
        <v>-0.25</v>
      </c>
      <c r="IE95" s="145">
        <f t="shared" si="79"/>
        <v>-0.33333333333333331</v>
      </c>
      <c r="IF95" s="145">
        <f t="shared" si="79"/>
        <v>0</v>
      </c>
      <c r="IG95" s="145">
        <f t="shared" si="79"/>
        <v>-0.5</v>
      </c>
      <c r="IH95" s="145">
        <f t="shared" si="79"/>
        <v>0</v>
      </c>
      <c r="II95" s="145">
        <f t="shared" si="79"/>
        <v>6</v>
      </c>
      <c r="IJ95" s="145">
        <f t="shared" si="79"/>
        <v>-0.8571428571428571</v>
      </c>
      <c r="IK95" s="145">
        <f t="shared" si="79"/>
        <v>1</v>
      </c>
      <c r="IL95" s="145">
        <f t="shared" si="79"/>
        <v>1</v>
      </c>
      <c r="IM95" s="145">
        <f t="shared" si="79"/>
        <v>-0.25</v>
      </c>
      <c r="IN95" s="145">
        <f t="shared" si="79"/>
        <v>0.33333333333333331</v>
      </c>
      <c r="IO95" s="145">
        <f t="shared" si="79"/>
        <v>0.75</v>
      </c>
      <c r="IP95" s="145">
        <f t="shared" si="79"/>
        <v>-1</v>
      </c>
      <c r="IQ95" s="145" t="e">
        <f t="shared" si="79"/>
        <v>#DIV/0!</v>
      </c>
      <c r="IR95" s="145">
        <f t="shared" si="79"/>
        <v>1</v>
      </c>
      <c r="IS95" s="145">
        <f t="shared" si="80"/>
        <v>0.5</v>
      </c>
      <c r="IT95" s="145">
        <f t="shared" si="80"/>
        <v>-0.33333333333333331</v>
      </c>
      <c r="IU95" s="145">
        <f t="shared" si="80"/>
        <v>1</v>
      </c>
      <c r="IV95" s="145">
        <f t="shared" si="80"/>
        <v>-1</v>
      </c>
      <c r="IW95" s="145" t="e">
        <f t="shared" si="80"/>
        <v>#DIV/0!</v>
      </c>
      <c r="IX95" s="145">
        <f t="shared" si="80"/>
        <v>2</v>
      </c>
      <c r="IY95" s="145">
        <f t="shared" si="80"/>
        <v>-0.66666666666666663</v>
      </c>
      <c r="IZ95" s="145">
        <f t="shared" si="80"/>
        <v>7</v>
      </c>
      <c r="JA95" s="145">
        <f t="shared" si="80"/>
        <v>-0.625</v>
      </c>
      <c r="JB95" s="145">
        <f t="shared" si="80"/>
        <v>-0.66666666666666663</v>
      </c>
      <c r="JC95" s="145">
        <f t="shared" si="80"/>
        <v>1</v>
      </c>
      <c r="JD95" s="145">
        <f t="shared" si="80"/>
        <v>-0.5</v>
      </c>
      <c r="JE95" s="145">
        <f t="shared" si="80"/>
        <v>1</v>
      </c>
      <c r="JF95" s="145">
        <f t="shared" si="80"/>
        <v>0</v>
      </c>
      <c r="JG95" s="145">
        <f t="shared" si="80"/>
        <v>1</v>
      </c>
      <c r="JH95" s="145">
        <f t="shared" si="80"/>
        <v>-1</v>
      </c>
      <c r="JI95" s="145" t="e">
        <f t="shared" si="81"/>
        <v>#DIV/0!</v>
      </c>
      <c r="JJ95" s="145">
        <f t="shared" si="81"/>
        <v>0</v>
      </c>
      <c r="JK95" s="145">
        <f t="shared" si="81"/>
        <v>0.5</v>
      </c>
      <c r="JL95" s="145">
        <f t="shared" si="81"/>
        <v>-0.33333333333333331</v>
      </c>
      <c r="JM95" s="145">
        <f t="shared" si="81"/>
        <v>-1</v>
      </c>
      <c r="JN95" s="145" t="e">
        <f t="shared" si="81"/>
        <v>#DIV/0!</v>
      </c>
      <c r="JO95" s="145">
        <f t="shared" si="81"/>
        <v>0.33333333333333331</v>
      </c>
      <c r="JP95" s="145">
        <f t="shared" si="81"/>
        <v>-0.5</v>
      </c>
      <c r="JQ95" s="145">
        <f t="shared" si="81"/>
        <v>0.5</v>
      </c>
      <c r="JR95" s="145">
        <f t="shared" si="81"/>
        <v>-0.33333333333333331</v>
      </c>
      <c r="JS95" s="145">
        <f t="shared" si="81"/>
        <v>0.5</v>
      </c>
      <c r="JT95" s="145">
        <f t="shared" si="81"/>
        <v>0.33333333333333331</v>
      </c>
      <c r="JU95" s="145">
        <f t="shared" si="81"/>
        <v>-0.75</v>
      </c>
      <c r="JV95" s="145">
        <f t="shared" si="81"/>
        <v>2</v>
      </c>
      <c r="JW95" s="145">
        <f t="shared" si="81"/>
        <v>0.33333333333333331</v>
      </c>
      <c r="JX95" s="145">
        <f t="shared" si="81"/>
        <v>0.25</v>
      </c>
      <c r="JY95" s="145">
        <f t="shared" si="82"/>
        <v>-0.2</v>
      </c>
      <c r="JZ95" s="145">
        <f t="shared" si="82"/>
        <v>-0.75</v>
      </c>
      <c r="KA95" s="145">
        <f t="shared" si="82"/>
        <v>4</v>
      </c>
      <c r="KB95" s="145">
        <f t="shared" si="82"/>
        <v>-0.4</v>
      </c>
      <c r="KC95" s="145">
        <f t="shared" si="82"/>
        <v>-0.66666666666666663</v>
      </c>
      <c r="KD95" s="145">
        <f t="shared" si="82"/>
        <v>2</v>
      </c>
      <c r="KE95" s="145">
        <f t="shared" si="82"/>
        <v>1</v>
      </c>
      <c r="KF95" s="145">
        <f t="shared" si="82"/>
        <v>-0.5</v>
      </c>
      <c r="KG95" s="145">
        <f t="shared" si="82"/>
        <v>0.33333333333333331</v>
      </c>
      <c r="KH95" s="145">
        <f t="shared" si="82"/>
        <v>-0.25</v>
      </c>
      <c r="KI95" s="145">
        <f t="shared" si="82"/>
        <v>2.3333333333333335</v>
      </c>
      <c r="KJ95" s="145">
        <f t="shared" si="82"/>
        <v>-0.4</v>
      </c>
      <c r="KK95" s="145">
        <f t="shared" si="82"/>
        <v>0.33333333333333331</v>
      </c>
      <c r="KL95" s="145">
        <f t="shared" si="82"/>
        <v>-0.875</v>
      </c>
      <c r="KM95" s="145">
        <f t="shared" si="82"/>
        <v>-1</v>
      </c>
      <c r="KN95" s="145" t="e">
        <f t="shared" si="82"/>
        <v>#DIV/0!</v>
      </c>
      <c r="KO95" s="145">
        <f t="shared" si="83"/>
        <v>0</v>
      </c>
      <c r="KP95" s="145">
        <f t="shared" si="83"/>
        <v>1.5</v>
      </c>
      <c r="KQ95" s="145">
        <f t="shared" si="83"/>
        <v>-0.4</v>
      </c>
      <c r="KR95" s="145">
        <f t="shared" si="83"/>
        <v>1</v>
      </c>
      <c r="KS95" s="145">
        <f t="shared" si="83"/>
        <v>-0.5</v>
      </c>
      <c r="KT95" s="145">
        <f t="shared" si="83"/>
        <v>0.66666666666666663</v>
      </c>
      <c r="KU95" s="145">
        <f t="shared" si="83"/>
        <v>-0.6</v>
      </c>
      <c r="KV95" s="145">
        <f t="shared" si="83"/>
        <v>2.5</v>
      </c>
      <c r="KW95" s="145">
        <f t="shared" si="83"/>
        <v>-0.42857142857142855</v>
      </c>
      <c r="KX95" s="145">
        <f t="shared" si="83"/>
        <v>0</v>
      </c>
      <c r="KY95" s="145">
        <f t="shared" si="83"/>
        <v>-0.25</v>
      </c>
      <c r="KZ95" s="145">
        <f t="shared" si="83"/>
        <v>0.33333333333333331</v>
      </c>
      <c r="LA95" s="145">
        <f t="shared" si="83"/>
        <v>0.75</v>
      </c>
      <c r="LB95" s="145">
        <f t="shared" si="83"/>
        <v>-0.7142857142857143</v>
      </c>
      <c r="LC95" s="145">
        <f t="shared" si="83"/>
        <v>0</v>
      </c>
      <c r="LD95" s="145">
        <f t="shared" si="83"/>
        <v>-0.5</v>
      </c>
      <c r="LE95" s="145">
        <f t="shared" si="71"/>
        <v>12</v>
      </c>
      <c r="LF95" s="145">
        <f t="shared" si="71"/>
        <v>-0.46153846153846156</v>
      </c>
      <c r="LG95" s="145">
        <f t="shared" si="71"/>
        <v>0.42857142857142855</v>
      </c>
      <c r="LH95" s="145">
        <f t="shared" si="71"/>
        <v>0.2</v>
      </c>
      <c r="LI95" s="145">
        <f t="shared" si="71"/>
        <v>-0.5</v>
      </c>
      <c r="LJ95" s="145">
        <f t="shared" si="71"/>
        <v>-0.83333333333333337</v>
      </c>
      <c r="LK95" s="145">
        <f t="shared" si="71"/>
        <v>4</v>
      </c>
      <c r="LL95" s="145">
        <f t="shared" si="71"/>
        <v>-0.6</v>
      </c>
      <c r="LM95" s="145">
        <f t="shared" si="71"/>
        <v>0</v>
      </c>
      <c r="LN95" s="145">
        <f t="shared" si="71"/>
        <v>2.5</v>
      </c>
      <c r="LO95" s="145">
        <f t="shared" si="71"/>
        <v>-0.5714285714285714</v>
      </c>
      <c r="LP95" s="145">
        <f t="shared" si="71"/>
        <v>1.3333333333333333</v>
      </c>
      <c r="LQ95" s="145">
        <f t="shared" si="71"/>
        <v>-0.7142857142857143</v>
      </c>
      <c r="LR95" s="145">
        <f t="shared" si="71"/>
        <v>1.5</v>
      </c>
      <c r="LS95" s="145">
        <f t="shared" si="71"/>
        <v>0.4</v>
      </c>
      <c r="LT95" s="145">
        <f t="shared" si="71"/>
        <v>1.2857142857142858</v>
      </c>
      <c r="LU95" s="145">
        <f t="shared" si="72"/>
        <v>-0.5</v>
      </c>
      <c r="LV95" s="145">
        <f t="shared" si="72"/>
        <v>-0.75</v>
      </c>
      <c r="LW95" s="145">
        <f t="shared" si="72"/>
        <v>0.5</v>
      </c>
      <c r="LX95" s="145">
        <f t="shared" si="72"/>
        <v>0</v>
      </c>
      <c r="LY95" s="145">
        <f t="shared" si="72"/>
        <v>-0.33333333333333331</v>
      </c>
      <c r="LZ95" s="145">
        <f t="shared" si="72"/>
        <v>0</v>
      </c>
      <c r="MA95" s="145">
        <f t="shared" si="72"/>
        <v>0.5</v>
      </c>
      <c r="MB95" s="145">
        <f t="shared" si="72"/>
        <v>-0.33333333333333331</v>
      </c>
      <c r="MC95" s="145">
        <f t="shared" si="72"/>
        <v>3</v>
      </c>
      <c r="MD95" s="145">
        <f t="shared" si="72"/>
        <v>0</v>
      </c>
      <c r="ME95" s="145">
        <f t="shared" si="72"/>
        <v>0.25</v>
      </c>
      <c r="MF95" s="145">
        <f t="shared" si="72"/>
        <v>0.2</v>
      </c>
      <c r="MG95" s="145">
        <f t="shared" si="72"/>
        <v>-0.16666666666666666</v>
      </c>
      <c r="MH95" s="145">
        <f t="shared" si="72"/>
        <v>-0.7</v>
      </c>
      <c r="MI95" s="145">
        <f t="shared" si="72"/>
        <v>-0.33333333333333331</v>
      </c>
      <c r="MJ95" s="145">
        <f t="shared" si="72"/>
        <v>-1</v>
      </c>
      <c r="MK95" s="145" t="e">
        <f t="shared" si="72"/>
        <v>#DIV/0!</v>
      </c>
      <c r="ML95" s="145">
        <f t="shared" si="72"/>
        <v>0</v>
      </c>
      <c r="MM95" s="145">
        <f t="shared" si="72"/>
        <v>0.5</v>
      </c>
      <c r="MN95" s="145">
        <f t="shared" si="72"/>
        <v>0</v>
      </c>
      <c r="MO95" s="145">
        <f t="shared" si="72"/>
        <v>0</v>
      </c>
      <c r="MP95" s="145">
        <f t="shared" si="72"/>
        <v>0</v>
      </c>
      <c r="MQ95" s="145">
        <f t="shared" si="72"/>
        <v>-0.33333333333333331</v>
      </c>
      <c r="MR95" s="145">
        <f t="shared" si="72"/>
        <v>-0.5</v>
      </c>
      <c r="MS95" s="145">
        <f>(EZ95-EY95)/EY95</f>
        <v>0.7142857142857143</v>
      </c>
      <c r="MT95" s="145">
        <f t="shared" si="73"/>
        <v>0.41666666666666669</v>
      </c>
      <c r="MU95" s="145">
        <f t="shared" si="73"/>
        <v>0.14285714285714285</v>
      </c>
      <c r="MV95" s="145">
        <f t="shared" si="73"/>
        <v>-7.6923076923076927E-2</v>
      </c>
      <c r="MW95" s="145">
        <f t="shared" si="73"/>
        <v>0.13333333333333333</v>
      </c>
      <c r="MX95" s="145">
        <f t="shared" si="73"/>
        <v>0.375</v>
      </c>
      <c r="MY95" s="145">
        <f t="shared" si="73"/>
        <v>-4.3478260869565216E-2</v>
      </c>
      <c r="MZ95" s="145">
        <f t="shared" si="73"/>
        <v>0.23333333333333334</v>
      </c>
      <c r="NA95" s="145">
        <f t="shared" si="73"/>
        <v>6.25E-2</v>
      </c>
      <c r="NB95" s="145">
        <f t="shared" si="73"/>
        <v>0</v>
      </c>
      <c r="NC95" s="145">
        <f t="shared" si="73"/>
        <v>-0.39130434782608697</v>
      </c>
      <c r="ND95" s="145">
        <f t="shared" si="73"/>
        <v>0.30303030303030304</v>
      </c>
      <c r="NE95" s="145">
        <f t="shared" si="73"/>
        <v>-0.13793103448275862</v>
      </c>
      <c r="NF95" s="145">
        <f t="shared" si="73"/>
        <v>-0.20833333333333334</v>
      </c>
      <c r="NG95" s="145">
        <f t="shared" si="73"/>
        <v>-0.84615384615384615</v>
      </c>
      <c r="NH95" s="145">
        <f t="shared" si="73"/>
        <v>0.31578947368421051</v>
      </c>
      <c r="NI95" s="145">
        <f t="shared" si="73"/>
        <v>0.20833333333333334</v>
      </c>
      <c r="NJ95" s="145">
        <f t="shared" si="74"/>
        <v>-0.33333333333333331</v>
      </c>
      <c r="NK95" s="145">
        <f t="shared" si="74"/>
        <v>0.47058823529411764</v>
      </c>
      <c r="NL95" s="145">
        <f t="shared" si="74"/>
        <v>-0.47826086956521741</v>
      </c>
      <c r="NM95" s="145">
        <f t="shared" si="74"/>
        <v>0.17857142857142858</v>
      </c>
      <c r="NN95" s="145">
        <f t="shared" si="74"/>
        <v>0.24324324324324326</v>
      </c>
      <c r="NO95" s="145">
        <f t="shared" si="74"/>
        <v>5.128205128205128E-2</v>
      </c>
      <c r="NP95" s="145">
        <f t="shared" si="74"/>
        <v>7.1428571428571425E-2</v>
      </c>
      <c r="NQ95" s="145">
        <f t="shared" si="74"/>
        <v>-0.27272727272727271</v>
      </c>
      <c r="NR95" s="145">
        <f t="shared" si="74"/>
        <v>-0.65</v>
      </c>
      <c r="NS95" s="145">
        <f t="shared" si="74"/>
        <v>0.375</v>
      </c>
      <c r="NT95" s="145">
        <f t="shared" si="74"/>
        <v>-1.6666666666666667</v>
      </c>
      <c r="NU95" s="145">
        <f t="shared" si="74"/>
        <v>0.42857142857142855</v>
      </c>
      <c r="NV95" s="145">
        <f t="shared" si="74"/>
        <v>4.5454545454545456E-2</v>
      </c>
      <c r="NW95" s="145">
        <f t="shared" si="74"/>
        <v>-0.29411764705882354</v>
      </c>
      <c r="NX95" s="145">
        <f t="shared" si="75"/>
        <v>-0.30769230769230771</v>
      </c>
      <c r="NY95" s="145">
        <f t="shared" si="75"/>
        <v>0.43478260869565216</v>
      </c>
      <c r="NZ95" s="145">
        <f t="shared" si="75"/>
        <v>0.3611111111111111</v>
      </c>
      <c r="OA95" s="145">
        <f t="shared" si="75"/>
        <v>-0.8</v>
      </c>
      <c r="OB95" s="145">
        <f t="shared" si="75"/>
        <v>0.5</v>
      </c>
      <c r="OC95" s="145">
        <f t="shared" si="75"/>
        <v>9.0909090909090912E-2</v>
      </c>
      <c r="OD95" s="145">
        <f t="shared" si="75"/>
        <v>-0.76</v>
      </c>
      <c r="OE95" s="145">
        <f t="shared" si="75"/>
        <v>-0.31578947368421051</v>
      </c>
      <c r="OF95" s="145">
        <f t="shared" si="75"/>
        <v>0</v>
      </c>
      <c r="OG95" s="145">
        <f t="shared" si="75"/>
        <v>0.34482758620689657</v>
      </c>
      <c r="OH95" s="145">
        <f t="shared" si="75"/>
        <v>-0.8125</v>
      </c>
      <c r="OI95" s="145">
        <f t="shared" si="75"/>
        <v>0.52941176470588236</v>
      </c>
      <c r="OJ95" s="145">
        <f t="shared" si="75"/>
        <v>-0.61904761904761907</v>
      </c>
      <c r="OK95" s="145">
        <f t="shared" si="75"/>
        <v>0</v>
      </c>
      <c r="OL95" s="145">
        <f t="shared" si="75"/>
        <v>0.41666666666666669</v>
      </c>
    </row>
    <row r="96" spans="1:402" s="145" customFormat="1" ht="19.5" customHeight="1" x14ac:dyDescent="0.35">
      <c r="A96" s="12" t="s">
        <v>34</v>
      </c>
      <c r="B96" s="156">
        <v>6</v>
      </c>
      <c r="C96" s="156">
        <v>5</v>
      </c>
      <c r="D96" s="156">
        <v>2</v>
      </c>
      <c r="E96" s="156">
        <f>8</f>
        <v>8</v>
      </c>
      <c r="F96" s="156">
        <f>'[1]Jan 08'!C43</f>
        <v>6</v>
      </c>
      <c r="G96" s="143">
        <f>'[1]Feb 08'!C43</f>
        <v>3</v>
      </c>
      <c r="H96" s="143">
        <f>'[1]Mar 08'!C43</f>
        <v>7</v>
      </c>
      <c r="I96" s="143">
        <v>15</v>
      </c>
      <c r="J96" s="143">
        <f>'[1]May 08'!C43</f>
        <v>10</v>
      </c>
      <c r="K96" s="143">
        <f>'[1]Jun 08'!C43</f>
        <v>12</v>
      </c>
      <c r="L96" s="143">
        <f>'[1]Jul 08'!C43</f>
        <v>10</v>
      </c>
      <c r="M96" s="143">
        <f>'[1]Aug 08'!C43</f>
        <v>6</v>
      </c>
      <c r="N96" s="143">
        <v>2</v>
      </c>
      <c r="O96" s="143">
        <v>7</v>
      </c>
      <c r="P96" s="143">
        <v>7</v>
      </c>
      <c r="Q96" s="143">
        <v>9</v>
      </c>
      <c r="R96" s="143">
        <v>9</v>
      </c>
      <c r="S96" s="143">
        <v>7</v>
      </c>
      <c r="T96" s="143">
        <v>3</v>
      </c>
      <c r="U96" s="143">
        <v>6</v>
      </c>
      <c r="V96" s="143">
        <v>11</v>
      </c>
      <c r="W96" s="143">
        <v>11</v>
      </c>
      <c r="X96" s="143">
        <v>7</v>
      </c>
      <c r="Y96" s="143">
        <v>2</v>
      </c>
      <c r="Z96" s="143">
        <v>2</v>
      </c>
      <c r="AA96" s="143">
        <v>6</v>
      </c>
      <c r="AB96" s="143">
        <v>2</v>
      </c>
      <c r="AC96" s="143">
        <v>7</v>
      </c>
      <c r="AD96" s="143">
        <v>2</v>
      </c>
      <c r="AE96" s="143">
        <v>1</v>
      </c>
      <c r="AF96" s="143">
        <v>2</v>
      </c>
      <c r="AG96" s="143">
        <v>2</v>
      </c>
      <c r="AH96" s="143">
        <v>3</v>
      </c>
      <c r="AI96" s="143">
        <v>5</v>
      </c>
      <c r="AJ96" s="143">
        <v>4</v>
      </c>
      <c r="AK96" s="143">
        <v>5</v>
      </c>
      <c r="AL96" s="143">
        <v>4</v>
      </c>
      <c r="AM96" s="143">
        <v>2</v>
      </c>
      <c r="AN96" s="143">
        <v>1</v>
      </c>
      <c r="AO96" s="143">
        <v>4</v>
      </c>
      <c r="AP96" s="143">
        <v>1</v>
      </c>
      <c r="AQ96" s="143">
        <v>4</v>
      </c>
      <c r="AR96" s="143">
        <v>1</v>
      </c>
      <c r="AS96" s="143">
        <v>1</v>
      </c>
      <c r="AT96" s="143">
        <v>3</v>
      </c>
      <c r="AU96" s="143">
        <v>5</v>
      </c>
      <c r="AV96" s="143">
        <v>1</v>
      </c>
      <c r="AW96" s="143">
        <v>2</v>
      </c>
      <c r="AX96" s="143">
        <v>6</v>
      </c>
      <c r="AY96" s="143">
        <v>1</v>
      </c>
      <c r="AZ96" s="143">
        <v>1</v>
      </c>
      <c r="BA96" s="143">
        <v>2</v>
      </c>
      <c r="BB96" s="143">
        <v>0</v>
      </c>
      <c r="BC96" s="143">
        <v>0</v>
      </c>
      <c r="BD96" s="143">
        <v>3</v>
      </c>
      <c r="BE96" s="143">
        <v>1</v>
      </c>
      <c r="BF96" s="143">
        <v>7</v>
      </c>
      <c r="BG96" s="143">
        <v>1</v>
      </c>
      <c r="BH96" s="143">
        <v>3</v>
      </c>
      <c r="BI96" s="143">
        <v>1</v>
      </c>
      <c r="BJ96" s="143">
        <v>1</v>
      </c>
      <c r="BK96" s="143">
        <v>1</v>
      </c>
      <c r="BL96" s="143">
        <v>2</v>
      </c>
      <c r="BM96" s="143">
        <v>3</v>
      </c>
      <c r="BN96" s="143">
        <v>2</v>
      </c>
      <c r="BO96" s="143">
        <v>0</v>
      </c>
      <c r="BP96" s="143">
        <v>5</v>
      </c>
      <c r="BQ96" s="143">
        <v>0</v>
      </c>
      <c r="BR96" s="143">
        <v>8</v>
      </c>
      <c r="BS96" s="143">
        <v>2</v>
      </c>
      <c r="BT96" s="143">
        <v>6</v>
      </c>
      <c r="BU96" s="143">
        <v>1</v>
      </c>
      <c r="BV96" s="143">
        <v>2</v>
      </c>
      <c r="BW96" s="143">
        <v>1</v>
      </c>
      <c r="BX96" s="143">
        <v>2</v>
      </c>
      <c r="BY96" s="143">
        <v>1</v>
      </c>
      <c r="BZ96" s="143">
        <v>1</v>
      </c>
      <c r="CA96" s="143">
        <v>2</v>
      </c>
      <c r="CB96" s="143">
        <v>2</v>
      </c>
      <c r="CC96" s="143">
        <v>3</v>
      </c>
      <c r="CD96" s="143">
        <v>1</v>
      </c>
      <c r="CE96" s="143">
        <v>7</v>
      </c>
      <c r="CF96" s="143">
        <v>4</v>
      </c>
      <c r="CG96" s="143">
        <v>0</v>
      </c>
      <c r="CH96" s="143">
        <v>4</v>
      </c>
      <c r="CI96" s="143">
        <v>1</v>
      </c>
      <c r="CJ96" s="143">
        <v>1</v>
      </c>
      <c r="CK96" s="143">
        <v>4</v>
      </c>
      <c r="CL96" s="143">
        <v>2</v>
      </c>
      <c r="CM96" s="143">
        <v>1</v>
      </c>
      <c r="CN96" s="143">
        <v>3</v>
      </c>
      <c r="CO96" s="143">
        <v>3</v>
      </c>
      <c r="CP96" s="143">
        <v>9</v>
      </c>
      <c r="CQ96" s="143">
        <v>11</v>
      </c>
      <c r="CR96" s="143">
        <v>0</v>
      </c>
      <c r="CS96" s="143">
        <v>3</v>
      </c>
      <c r="CT96" s="143">
        <v>3</v>
      </c>
      <c r="CU96" s="143">
        <v>1</v>
      </c>
      <c r="CV96" s="143">
        <v>0</v>
      </c>
      <c r="CW96" s="143">
        <v>2</v>
      </c>
      <c r="CX96" s="143">
        <v>2</v>
      </c>
      <c r="CY96" s="143">
        <v>0</v>
      </c>
      <c r="CZ96" s="143">
        <v>2</v>
      </c>
      <c r="DA96" s="143">
        <v>2</v>
      </c>
      <c r="DB96" s="143">
        <v>6</v>
      </c>
      <c r="DC96" s="143">
        <v>7</v>
      </c>
      <c r="DD96" s="143">
        <v>3</v>
      </c>
      <c r="DE96" s="143">
        <v>2</v>
      </c>
      <c r="DF96" s="143">
        <v>0</v>
      </c>
      <c r="DG96" s="143">
        <v>1</v>
      </c>
      <c r="DH96" s="143">
        <v>2</v>
      </c>
      <c r="DI96" s="143">
        <v>2</v>
      </c>
      <c r="DJ96" s="143">
        <v>6</v>
      </c>
      <c r="DK96" s="143">
        <v>1</v>
      </c>
      <c r="DL96" s="143">
        <v>0</v>
      </c>
      <c r="DM96" s="143">
        <v>1</v>
      </c>
      <c r="DN96" s="143">
        <v>3</v>
      </c>
      <c r="DO96" s="143">
        <v>7</v>
      </c>
      <c r="DP96" s="143">
        <v>5</v>
      </c>
      <c r="DQ96" s="143">
        <v>2</v>
      </c>
      <c r="DR96" s="143">
        <v>0</v>
      </c>
      <c r="DS96" s="143">
        <v>0</v>
      </c>
      <c r="DT96" s="143">
        <v>2</v>
      </c>
      <c r="DU96" s="143">
        <v>4</v>
      </c>
      <c r="DV96" s="143">
        <v>1</v>
      </c>
      <c r="DW96" s="143">
        <v>1</v>
      </c>
      <c r="DX96" s="143">
        <v>4</v>
      </c>
      <c r="DY96" s="143">
        <v>2</v>
      </c>
      <c r="DZ96" s="143">
        <v>4</v>
      </c>
      <c r="EA96" s="143">
        <v>12</v>
      </c>
      <c r="EB96" s="143">
        <v>3</v>
      </c>
      <c r="EC96" s="143">
        <v>3</v>
      </c>
      <c r="ED96" s="143">
        <v>0</v>
      </c>
      <c r="EE96" s="143">
        <v>3</v>
      </c>
      <c r="EF96" s="143">
        <v>3</v>
      </c>
      <c r="EG96" s="143">
        <v>2</v>
      </c>
      <c r="EH96" s="143">
        <v>5</v>
      </c>
      <c r="EI96" s="143">
        <v>0</v>
      </c>
      <c r="EJ96" s="143">
        <v>2</v>
      </c>
      <c r="EK96" s="143">
        <v>4</v>
      </c>
      <c r="EL96" s="143">
        <v>6</v>
      </c>
      <c r="EM96" s="143">
        <v>6</v>
      </c>
      <c r="EN96" s="143">
        <v>0</v>
      </c>
      <c r="EO96" s="143">
        <v>2</v>
      </c>
      <c r="EP96" s="143">
        <v>2</v>
      </c>
      <c r="EQ96" s="143">
        <v>0</v>
      </c>
      <c r="ER96" s="143">
        <v>2</v>
      </c>
      <c r="ES96" s="143">
        <v>2</v>
      </c>
      <c r="ET96" s="143">
        <v>4</v>
      </c>
      <c r="EU96" s="143">
        <v>0</v>
      </c>
      <c r="EV96" s="143">
        <v>1</v>
      </c>
      <c r="EW96" s="143">
        <v>3</v>
      </c>
      <c r="EX96" s="143">
        <v>2</v>
      </c>
      <c r="EY96" s="143">
        <v>2</v>
      </c>
      <c r="EZ96" s="143">
        <v>4</v>
      </c>
      <c r="FA96" s="143">
        <v>1</v>
      </c>
      <c r="FB96" s="143">
        <v>1</v>
      </c>
      <c r="FC96" s="143">
        <v>3</v>
      </c>
      <c r="FD96" s="143">
        <v>2</v>
      </c>
      <c r="FE96" s="143">
        <v>5</v>
      </c>
      <c r="FF96" s="143">
        <v>1</v>
      </c>
      <c r="FG96" s="143">
        <v>1</v>
      </c>
      <c r="FH96" s="143">
        <v>1</v>
      </c>
      <c r="FI96" s="143">
        <v>2</v>
      </c>
      <c r="FJ96" s="143">
        <v>1</v>
      </c>
      <c r="FK96" s="143">
        <v>1</v>
      </c>
      <c r="FL96" s="143">
        <v>4</v>
      </c>
      <c r="FM96" s="143">
        <v>2</v>
      </c>
      <c r="FN96" s="143">
        <v>0</v>
      </c>
      <c r="FO96" s="143">
        <v>4</v>
      </c>
      <c r="FP96" s="143">
        <v>0</v>
      </c>
      <c r="FQ96" s="143">
        <v>3</v>
      </c>
      <c r="FR96" s="143">
        <v>4</v>
      </c>
      <c r="FS96" s="143">
        <v>0</v>
      </c>
      <c r="FT96" s="143">
        <v>6</v>
      </c>
      <c r="FU96" s="143">
        <v>4</v>
      </c>
      <c r="FV96" s="143">
        <v>6</v>
      </c>
      <c r="FW96" s="143">
        <v>3</v>
      </c>
      <c r="FX96" s="143">
        <v>6</v>
      </c>
      <c r="FY96" s="143">
        <v>5</v>
      </c>
      <c r="FZ96" s="143">
        <v>4</v>
      </c>
      <c r="GA96" s="143">
        <v>3</v>
      </c>
      <c r="GB96" s="143">
        <v>4</v>
      </c>
      <c r="GC96" s="143">
        <v>6</v>
      </c>
      <c r="GD96" s="143">
        <v>6</v>
      </c>
      <c r="GE96" s="143">
        <v>7</v>
      </c>
      <c r="GF96" s="143">
        <v>2</v>
      </c>
      <c r="GG96" s="143">
        <v>3</v>
      </c>
      <c r="GH96" s="143">
        <v>10</v>
      </c>
      <c r="GI96" s="143">
        <v>17</v>
      </c>
      <c r="GJ96" s="143">
        <v>8</v>
      </c>
      <c r="GK96" s="143">
        <v>10</v>
      </c>
      <c r="GL96" s="143">
        <v>2</v>
      </c>
      <c r="GM96" s="143">
        <v>6</v>
      </c>
      <c r="GN96" s="143">
        <v>4</v>
      </c>
      <c r="GO96" s="143">
        <v>14</v>
      </c>
      <c r="GP96" s="143">
        <v>4</v>
      </c>
      <c r="GQ96" s="143">
        <v>0</v>
      </c>
      <c r="GR96" s="143">
        <v>6</v>
      </c>
      <c r="GS96" s="143">
        <f t="shared" si="76"/>
        <v>7</v>
      </c>
      <c r="GT96" s="152"/>
      <c r="GU96" s="12" t="s">
        <v>34</v>
      </c>
      <c r="GV96" s="145" t="s">
        <v>30</v>
      </c>
      <c r="GW96" s="145">
        <f t="shared" si="77"/>
        <v>-0.16666666666666666</v>
      </c>
      <c r="GX96" s="145">
        <f t="shared" si="77"/>
        <v>-0.6</v>
      </c>
      <c r="GY96" s="145">
        <f t="shared" si="77"/>
        <v>3</v>
      </c>
      <c r="GZ96" s="145">
        <f t="shared" si="77"/>
        <v>-0.25</v>
      </c>
      <c r="HA96" s="145">
        <f t="shared" si="77"/>
        <v>-0.5</v>
      </c>
      <c r="HB96" s="145">
        <f t="shared" si="77"/>
        <v>1.3333333333333333</v>
      </c>
      <c r="HC96" s="145">
        <f t="shared" si="77"/>
        <v>1.1428571428571428</v>
      </c>
      <c r="HD96" s="145">
        <f t="shared" si="77"/>
        <v>-0.33333333333333331</v>
      </c>
      <c r="HE96" s="145">
        <f t="shared" si="77"/>
        <v>0.2</v>
      </c>
      <c r="HF96" s="145">
        <f t="shared" si="77"/>
        <v>-0.16666666666666666</v>
      </c>
      <c r="HG96" s="145">
        <f t="shared" si="77"/>
        <v>-0.4</v>
      </c>
      <c r="HH96" s="145">
        <f t="shared" si="77"/>
        <v>-0.66666666666666663</v>
      </c>
      <c r="HI96" s="145">
        <f t="shared" si="77"/>
        <v>2.5</v>
      </c>
      <c r="HJ96" s="145">
        <f t="shared" si="77"/>
        <v>0</v>
      </c>
      <c r="HK96" s="145">
        <f t="shared" si="77"/>
        <v>0.2857142857142857</v>
      </c>
      <c r="HL96" s="145">
        <f t="shared" si="77"/>
        <v>0</v>
      </c>
      <c r="HM96" s="145">
        <f t="shared" si="78"/>
        <v>-0.22222222222222221</v>
      </c>
      <c r="HN96" s="145">
        <f t="shared" si="78"/>
        <v>-0.5714285714285714</v>
      </c>
      <c r="HO96" s="145">
        <f t="shared" si="78"/>
        <v>1</v>
      </c>
      <c r="HP96" s="145">
        <f t="shared" si="78"/>
        <v>0.83333333333333337</v>
      </c>
      <c r="HQ96" s="145">
        <f t="shared" si="78"/>
        <v>0</v>
      </c>
      <c r="HR96" s="145">
        <f t="shared" si="78"/>
        <v>-0.36363636363636365</v>
      </c>
      <c r="HS96" s="145">
        <f t="shared" si="78"/>
        <v>-0.7142857142857143</v>
      </c>
      <c r="HT96" s="145">
        <f t="shared" si="78"/>
        <v>0</v>
      </c>
      <c r="HU96" s="145">
        <f t="shared" si="78"/>
        <v>2</v>
      </c>
      <c r="HV96" s="145">
        <f t="shared" si="78"/>
        <v>-0.66666666666666663</v>
      </c>
      <c r="HW96" s="145">
        <f t="shared" si="78"/>
        <v>2.5</v>
      </c>
      <c r="HX96" s="145">
        <f t="shared" si="78"/>
        <v>-0.7142857142857143</v>
      </c>
      <c r="HY96" s="145">
        <f t="shared" si="78"/>
        <v>-0.5</v>
      </c>
      <c r="HZ96" s="145">
        <f t="shared" si="78"/>
        <v>1</v>
      </c>
      <c r="IA96" s="145">
        <f t="shared" si="78"/>
        <v>0</v>
      </c>
      <c r="IB96" s="145">
        <f t="shared" si="78"/>
        <v>0.5</v>
      </c>
      <c r="IC96" s="145">
        <f t="shared" si="79"/>
        <v>0.66666666666666663</v>
      </c>
      <c r="ID96" s="145">
        <f t="shared" si="79"/>
        <v>-0.2</v>
      </c>
      <c r="IE96" s="145">
        <f t="shared" si="79"/>
        <v>0.25</v>
      </c>
      <c r="IF96" s="145">
        <f t="shared" si="79"/>
        <v>-0.2</v>
      </c>
      <c r="IG96" s="145">
        <f t="shared" si="79"/>
        <v>-0.5</v>
      </c>
      <c r="IH96" s="145">
        <f t="shared" si="79"/>
        <v>-0.5</v>
      </c>
      <c r="II96" s="145">
        <f t="shared" si="79"/>
        <v>3</v>
      </c>
      <c r="IJ96" s="145">
        <f t="shared" si="79"/>
        <v>-0.75</v>
      </c>
      <c r="IK96" s="145">
        <f t="shared" si="79"/>
        <v>3</v>
      </c>
      <c r="IL96" s="145">
        <f t="shared" si="79"/>
        <v>-0.75</v>
      </c>
      <c r="IM96" s="145">
        <f t="shared" si="79"/>
        <v>0</v>
      </c>
      <c r="IN96" s="145">
        <f t="shared" si="79"/>
        <v>2</v>
      </c>
      <c r="IO96" s="145">
        <f t="shared" si="79"/>
        <v>0.66666666666666663</v>
      </c>
      <c r="IP96" s="145">
        <f t="shared" si="79"/>
        <v>-0.8</v>
      </c>
      <c r="IQ96" s="145">
        <f t="shared" si="79"/>
        <v>1</v>
      </c>
      <c r="IR96" s="145">
        <f t="shared" si="79"/>
        <v>2</v>
      </c>
      <c r="IS96" s="145">
        <f t="shared" si="80"/>
        <v>-0.83333333333333337</v>
      </c>
      <c r="IT96" s="145">
        <f t="shared" si="80"/>
        <v>0</v>
      </c>
      <c r="IU96" s="145">
        <f t="shared" si="80"/>
        <v>1</v>
      </c>
      <c r="IV96" s="145">
        <f t="shared" si="80"/>
        <v>-1</v>
      </c>
      <c r="IW96" s="145" t="e">
        <f t="shared" si="80"/>
        <v>#DIV/0!</v>
      </c>
      <c r="IX96" s="145" t="e">
        <f t="shared" si="80"/>
        <v>#DIV/0!</v>
      </c>
      <c r="IY96" s="145">
        <f t="shared" si="80"/>
        <v>-0.66666666666666663</v>
      </c>
      <c r="IZ96" s="145">
        <f t="shared" si="80"/>
        <v>6</v>
      </c>
      <c r="JA96" s="145">
        <f t="shared" si="80"/>
        <v>-0.8571428571428571</v>
      </c>
      <c r="JB96" s="145">
        <f t="shared" si="80"/>
        <v>2</v>
      </c>
      <c r="JC96" s="145">
        <f t="shared" si="80"/>
        <v>-0.66666666666666663</v>
      </c>
      <c r="JD96" s="145">
        <f t="shared" si="80"/>
        <v>0</v>
      </c>
      <c r="JE96" s="145">
        <f t="shared" si="80"/>
        <v>0</v>
      </c>
      <c r="JF96" s="145">
        <f t="shared" si="80"/>
        <v>1</v>
      </c>
      <c r="JG96" s="145">
        <f t="shared" si="80"/>
        <v>0.5</v>
      </c>
      <c r="JH96" s="145">
        <f t="shared" si="80"/>
        <v>-0.33333333333333331</v>
      </c>
      <c r="JI96" s="145">
        <f t="shared" si="81"/>
        <v>-1</v>
      </c>
      <c r="JJ96" s="145" t="e">
        <f t="shared" si="81"/>
        <v>#DIV/0!</v>
      </c>
      <c r="JK96" s="145">
        <f t="shared" si="81"/>
        <v>-1</v>
      </c>
      <c r="JL96" s="145" t="e">
        <f t="shared" si="81"/>
        <v>#DIV/0!</v>
      </c>
      <c r="JM96" s="145">
        <f t="shared" si="81"/>
        <v>-0.75</v>
      </c>
      <c r="JN96" s="145">
        <f t="shared" si="81"/>
        <v>2</v>
      </c>
      <c r="JO96" s="145">
        <f t="shared" si="81"/>
        <v>-0.83333333333333337</v>
      </c>
      <c r="JP96" s="145">
        <f t="shared" si="81"/>
        <v>1</v>
      </c>
      <c r="JQ96" s="145">
        <f t="shared" si="81"/>
        <v>-0.5</v>
      </c>
      <c r="JR96" s="145">
        <f t="shared" si="81"/>
        <v>1</v>
      </c>
      <c r="JS96" s="145">
        <f t="shared" si="81"/>
        <v>-0.5</v>
      </c>
      <c r="JT96" s="145">
        <f t="shared" si="81"/>
        <v>0</v>
      </c>
      <c r="JU96" s="145">
        <f t="shared" si="81"/>
        <v>1</v>
      </c>
      <c r="JV96" s="145">
        <f t="shared" si="81"/>
        <v>0</v>
      </c>
      <c r="JW96" s="145">
        <f t="shared" si="81"/>
        <v>0.5</v>
      </c>
      <c r="JX96" s="145">
        <f t="shared" si="81"/>
        <v>-0.66666666666666663</v>
      </c>
      <c r="JY96" s="145">
        <f t="shared" si="82"/>
        <v>6</v>
      </c>
      <c r="JZ96" s="145">
        <f t="shared" si="82"/>
        <v>-0.42857142857142855</v>
      </c>
      <c r="KA96" s="145">
        <f t="shared" si="82"/>
        <v>-1</v>
      </c>
      <c r="KB96" s="145" t="e">
        <f t="shared" si="82"/>
        <v>#DIV/0!</v>
      </c>
      <c r="KC96" s="145">
        <f t="shared" si="82"/>
        <v>-0.75</v>
      </c>
      <c r="KD96" s="145">
        <f t="shared" si="82"/>
        <v>0</v>
      </c>
      <c r="KE96" s="145">
        <f t="shared" si="82"/>
        <v>3</v>
      </c>
      <c r="KF96" s="145">
        <f t="shared" si="82"/>
        <v>-0.5</v>
      </c>
      <c r="KG96" s="145">
        <f t="shared" si="82"/>
        <v>-0.5</v>
      </c>
      <c r="KH96" s="145">
        <f t="shared" si="82"/>
        <v>2</v>
      </c>
      <c r="KI96" s="145">
        <f t="shared" si="82"/>
        <v>0</v>
      </c>
      <c r="KJ96" s="145">
        <f t="shared" si="82"/>
        <v>2</v>
      </c>
      <c r="KK96" s="145">
        <f t="shared" si="82"/>
        <v>0.22222222222222221</v>
      </c>
      <c r="KL96" s="145">
        <f t="shared" si="82"/>
        <v>-1</v>
      </c>
      <c r="KM96" s="145" t="e">
        <f t="shared" si="82"/>
        <v>#DIV/0!</v>
      </c>
      <c r="KN96" s="145">
        <f t="shared" si="82"/>
        <v>0</v>
      </c>
      <c r="KO96" s="145">
        <f t="shared" si="83"/>
        <v>-0.66666666666666663</v>
      </c>
      <c r="KP96" s="145">
        <f t="shared" si="83"/>
        <v>-1</v>
      </c>
      <c r="KQ96" s="145" t="e">
        <f t="shared" si="83"/>
        <v>#DIV/0!</v>
      </c>
      <c r="KR96" s="145">
        <f t="shared" si="83"/>
        <v>0</v>
      </c>
      <c r="KS96" s="145">
        <f t="shared" si="83"/>
        <v>-1</v>
      </c>
      <c r="KT96" s="145" t="e">
        <f t="shared" si="83"/>
        <v>#DIV/0!</v>
      </c>
      <c r="KU96" s="145">
        <f t="shared" si="83"/>
        <v>0</v>
      </c>
      <c r="KV96" s="145">
        <f t="shared" si="83"/>
        <v>2</v>
      </c>
      <c r="KW96" s="145">
        <f t="shared" si="83"/>
        <v>0.16666666666666666</v>
      </c>
      <c r="KX96" s="145">
        <f t="shared" si="83"/>
        <v>-0.5714285714285714</v>
      </c>
      <c r="KY96" s="145">
        <f t="shared" si="83"/>
        <v>-0.33333333333333331</v>
      </c>
      <c r="KZ96" s="145">
        <f t="shared" si="83"/>
        <v>-1</v>
      </c>
      <c r="LA96" s="145" t="e">
        <f t="shared" si="83"/>
        <v>#DIV/0!</v>
      </c>
      <c r="LB96" s="145">
        <f t="shared" si="83"/>
        <v>1</v>
      </c>
      <c r="LC96" s="145">
        <f t="shared" si="83"/>
        <v>0</v>
      </c>
      <c r="LD96" s="145">
        <f t="shared" si="83"/>
        <v>2</v>
      </c>
      <c r="LE96" s="145">
        <f t="shared" si="71"/>
        <v>-0.83333333333333337</v>
      </c>
      <c r="LF96" s="145">
        <f t="shared" si="71"/>
        <v>-1</v>
      </c>
      <c r="LG96" s="145" t="e">
        <f t="shared" si="71"/>
        <v>#DIV/0!</v>
      </c>
      <c r="LH96" s="145">
        <f t="shared" si="71"/>
        <v>2</v>
      </c>
      <c r="LI96" s="145">
        <f t="shared" si="71"/>
        <v>1.3333333333333333</v>
      </c>
      <c r="LJ96" s="145">
        <f t="shared" si="71"/>
        <v>-0.2857142857142857</v>
      </c>
      <c r="LK96" s="145">
        <f t="shared" si="71"/>
        <v>-0.6</v>
      </c>
      <c r="LL96" s="145">
        <f t="shared" si="71"/>
        <v>-1</v>
      </c>
      <c r="LM96" s="145" t="e">
        <f t="shared" si="71"/>
        <v>#DIV/0!</v>
      </c>
      <c r="LN96" s="145" t="e">
        <f t="shared" si="71"/>
        <v>#DIV/0!</v>
      </c>
      <c r="LO96" s="145">
        <f t="shared" si="71"/>
        <v>1</v>
      </c>
      <c r="LP96" s="145">
        <f t="shared" si="71"/>
        <v>-0.75</v>
      </c>
      <c r="LQ96" s="145">
        <f t="shared" si="71"/>
        <v>0</v>
      </c>
      <c r="LR96" s="145">
        <f t="shared" si="71"/>
        <v>3</v>
      </c>
      <c r="LS96" s="145">
        <f t="shared" si="71"/>
        <v>-0.5</v>
      </c>
      <c r="LT96" s="145">
        <f t="shared" si="71"/>
        <v>1</v>
      </c>
      <c r="LU96" s="145">
        <f t="shared" si="72"/>
        <v>2</v>
      </c>
      <c r="LV96" s="145">
        <f t="shared" si="72"/>
        <v>-0.75</v>
      </c>
      <c r="LW96" s="145">
        <f t="shared" si="72"/>
        <v>0</v>
      </c>
      <c r="LX96" s="145">
        <f t="shared" si="72"/>
        <v>-1</v>
      </c>
      <c r="LY96" s="145" t="e">
        <f t="shared" si="72"/>
        <v>#DIV/0!</v>
      </c>
      <c r="LZ96" s="145">
        <f t="shared" si="72"/>
        <v>0</v>
      </c>
      <c r="MA96" s="145">
        <f t="shared" si="72"/>
        <v>-0.33333333333333331</v>
      </c>
      <c r="MB96" s="145">
        <f t="shared" si="72"/>
        <v>1.5</v>
      </c>
      <c r="MC96" s="145">
        <f t="shared" si="72"/>
        <v>-1</v>
      </c>
      <c r="MD96" s="145" t="e">
        <f t="shared" si="72"/>
        <v>#DIV/0!</v>
      </c>
      <c r="ME96" s="145">
        <f t="shared" si="72"/>
        <v>1</v>
      </c>
      <c r="MF96" s="145">
        <f t="shared" si="72"/>
        <v>0.5</v>
      </c>
      <c r="MG96" s="145">
        <f t="shared" si="72"/>
        <v>0</v>
      </c>
      <c r="MH96" s="145">
        <f t="shared" si="72"/>
        <v>-1</v>
      </c>
      <c r="MI96" s="145" t="e">
        <f t="shared" si="72"/>
        <v>#DIV/0!</v>
      </c>
      <c r="MJ96" s="145">
        <f t="shared" si="72"/>
        <v>0</v>
      </c>
      <c r="MK96" s="145">
        <f t="shared" si="72"/>
        <v>-1</v>
      </c>
      <c r="ML96" s="145" t="e">
        <f t="shared" si="72"/>
        <v>#DIV/0!</v>
      </c>
      <c r="MM96" s="145">
        <f t="shared" si="72"/>
        <v>0</v>
      </c>
      <c r="MN96" s="145">
        <f t="shared" si="72"/>
        <v>1</v>
      </c>
      <c r="MO96" s="145">
        <f t="shared" si="72"/>
        <v>-1</v>
      </c>
      <c r="MP96" s="145" t="e">
        <f t="shared" si="72"/>
        <v>#DIV/0!</v>
      </c>
      <c r="MQ96" s="145">
        <f t="shared" si="72"/>
        <v>2</v>
      </c>
      <c r="MR96" s="145">
        <f t="shared" si="72"/>
        <v>-0.33333333333333331</v>
      </c>
      <c r="MS96" s="145">
        <f>(EZ96-EY96)/EY96</f>
        <v>1</v>
      </c>
      <c r="MT96" s="145">
        <f t="shared" si="73"/>
        <v>0.5</v>
      </c>
      <c r="MU96" s="145">
        <f t="shared" si="73"/>
        <v>-3</v>
      </c>
      <c r="MV96" s="145">
        <f t="shared" si="73"/>
        <v>0</v>
      </c>
      <c r="MW96" s="145">
        <f t="shared" si="73"/>
        <v>0.66666666666666663</v>
      </c>
      <c r="MX96" s="145">
        <f t="shared" si="73"/>
        <v>-0.5</v>
      </c>
      <c r="MY96" s="145">
        <f t="shared" si="73"/>
        <v>0.6</v>
      </c>
      <c r="MZ96" s="145">
        <f t="shared" si="73"/>
        <v>-4</v>
      </c>
      <c r="NA96" s="145">
        <f t="shared" si="73"/>
        <v>0</v>
      </c>
      <c r="NB96" s="145">
        <f t="shared" si="73"/>
        <v>0</v>
      </c>
      <c r="NC96" s="145">
        <f t="shared" si="73"/>
        <v>0.5</v>
      </c>
      <c r="ND96" s="145">
        <f t="shared" si="73"/>
        <v>-1</v>
      </c>
      <c r="NE96" s="145">
        <f t="shared" si="73"/>
        <v>0</v>
      </c>
      <c r="NF96" s="145">
        <f t="shared" si="73"/>
        <v>0.75</v>
      </c>
      <c r="NG96" s="145">
        <f t="shared" si="73"/>
        <v>-1</v>
      </c>
      <c r="NH96" s="145" t="e">
        <f t="shared" si="73"/>
        <v>#DIV/0!</v>
      </c>
      <c r="NI96" s="145">
        <f t="shared" si="73"/>
        <v>1</v>
      </c>
      <c r="NJ96" s="145" t="e">
        <f t="shared" si="74"/>
        <v>#DIV/0!</v>
      </c>
      <c r="NK96" s="145">
        <f t="shared" si="74"/>
        <v>1</v>
      </c>
      <c r="NL96" s="145">
        <f t="shared" si="74"/>
        <v>0.25</v>
      </c>
      <c r="NM96" s="145" t="e">
        <f t="shared" si="74"/>
        <v>#DIV/0!</v>
      </c>
      <c r="NN96" s="145">
        <f t="shared" si="74"/>
        <v>1</v>
      </c>
      <c r="NO96" s="145">
        <f t="shared" si="74"/>
        <v>-0.5</v>
      </c>
      <c r="NP96" s="145">
        <f t="shared" si="74"/>
        <v>0.33333333333333331</v>
      </c>
      <c r="NQ96" s="145">
        <f t="shared" si="74"/>
        <v>-1</v>
      </c>
      <c r="NR96" s="145">
        <f t="shared" si="74"/>
        <v>0.5</v>
      </c>
      <c r="NS96" s="145">
        <f t="shared" si="74"/>
        <v>-0.2</v>
      </c>
      <c r="NT96" s="145">
        <f t="shared" si="74"/>
        <v>-0.25</v>
      </c>
      <c r="NU96" s="145">
        <f t="shared" si="74"/>
        <v>-0.33333333333333331</v>
      </c>
      <c r="NV96" s="145">
        <f t="shared" si="74"/>
        <v>0.25</v>
      </c>
      <c r="NW96" s="145">
        <f t="shared" si="74"/>
        <v>0.33333333333333331</v>
      </c>
      <c r="NX96" s="145">
        <f t="shared" si="75"/>
        <v>0</v>
      </c>
      <c r="NY96" s="145">
        <f t="shared" si="75"/>
        <v>0.14285714285714285</v>
      </c>
      <c r="NZ96" s="145">
        <f t="shared" si="75"/>
        <v>-2.5</v>
      </c>
      <c r="OA96" s="145">
        <f t="shared" si="75"/>
        <v>0.33333333333333331</v>
      </c>
      <c r="OB96" s="145">
        <f t="shared" si="75"/>
        <v>0.7</v>
      </c>
      <c r="OC96" s="145">
        <f t="shared" si="75"/>
        <v>0.41176470588235292</v>
      </c>
      <c r="OD96" s="145">
        <f t="shared" si="75"/>
        <v>-1.125</v>
      </c>
      <c r="OE96" s="145">
        <f t="shared" si="75"/>
        <v>0.2</v>
      </c>
      <c r="OF96" s="145">
        <f t="shared" si="75"/>
        <v>-4</v>
      </c>
      <c r="OG96" s="145">
        <f t="shared" si="75"/>
        <v>0.66666666666666663</v>
      </c>
      <c r="OH96" s="145">
        <f t="shared" si="75"/>
        <v>-0.5</v>
      </c>
      <c r="OI96" s="145">
        <f t="shared" si="75"/>
        <v>0.7142857142857143</v>
      </c>
      <c r="OJ96" s="145">
        <f t="shared" si="75"/>
        <v>-2.5</v>
      </c>
      <c r="OK96" s="145" t="e">
        <f t="shared" si="75"/>
        <v>#DIV/0!</v>
      </c>
      <c r="OL96" s="145">
        <f t="shared" si="75"/>
        <v>1</v>
      </c>
    </row>
    <row r="97" spans="1:402" x14ac:dyDescent="0.35">
      <c r="B97" s="23"/>
      <c r="C97" s="23"/>
      <c r="D97" s="23"/>
      <c r="E97" s="23"/>
      <c r="F97" s="23"/>
      <c r="G97" s="24"/>
      <c r="H97" s="24"/>
      <c r="I97" s="24"/>
      <c r="J97" s="24"/>
      <c r="GS97" s="24"/>
      <c r="GV97" s="25"/>
      <c r="GW97" s="25"/>
      <c r="GX97" s="25"/>
      <c r="GY97" s="25"/>
    </row>
    <row r="99" spans="1:402" ht="16" thickBot="1" x14ac:dyDescent="0.4">
      <c r="A99" s="12" t="s">
        <v>39</v>
      </c>
      <c r="GU99" s="12" t="s">
        <v>36</v>
      </c>
    </row>
    <row r="100" spans="1:402" x14ac:dyDescent="0.35">
      <c r="B100" s="13">
        <v>2007</v>
      </c>
      <c r="C100" s="13"/>
      <c r="D100" s="13"/>
      <c r="E100" s="14"/>
      <c r="F100" s="15">
        <v>2008</v>
      </c>
      <c r="G100" s="16"/>
      <c r="H100" s="17"/>
      <c r="I100" s="16"/>
      <c r="J100" s="16"/>
      <c r="K100" s="16"/>
      <c r="L100" s="18"/>
      <c r="M100" s="18"/>
      <c r="N100" s="18"/>
      <c r="O100" s="18"/>
      <c r="P100" s="18"/>
      <c r="Q100" s="18"/>
      <c r="R100" s="19">
        <v>2009</v>
      </c>
      <c r="S100" s="19"/>
      <c r="T100" s="19"/>
      <c r="U100" s="19"/>
      <c r="V100" s="16"/>
      <c r="W100" s="16"/>
      <c r="X100" s="16"/>
      <c r="Y100" s="16"/>
      <c r="Z100" s="16"/>
      <c r="AA100" s="16"/>
      <c r="AB100" s="16"/>
      <c r="AC100" s="16"/>
      <c r="AD100" s="19">
        <v>2010</v>
      </c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>
        <v>2011</v>
      </c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9">
        <v>2012</v>
      </c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9">
        <v>2013</v>
      </c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>
        <v>2014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>
        <v>2015</v>
      </c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9">
        <v>2016</v>
      </c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9">
        <v>2017</v>
      </c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>
        <v>2018</v>
      </c>
      <c r="DW100" s="19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9">
        <v>2019</v>
      </c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9">
        <v>2020</v>
      </c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9">
        <v>2021</v>
      </c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>
        <v>2022</v>
      </c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>
        <v>2023</v>
      </c>
      <c r="GE100" s="19"/>
      <c r="GF100" s="16"/>
      <c r="GG100" s="19">
        <v>2023</v>
      </c>
      <c r="GH100" s="16"/>
      <c r="GI100" s="16"/>
      <c r="GJ100" s="16"/>
      <c r="GK100" s="16"/>
      <c r="GL100" s="16"/>
      <c r="GM100" s="16"/>
      <c r="GN100" s="16"/>
      <c r="GO100" s="16"/>
      <c r="GP100" s="19">
        <v>2024</v>
      </c>
      <c r="GQ100" s="19"/>
      <c r="GR100" s="183"/>
      <c r="GS100" s="43"/>
      <c r="GV100" s="13">
        <v>2007</v>
      </c>
      <c r="GW100" s="13"/>
      <c r="GX100" s="13"/>
      <c r="GY100" s="14"/>
      <c r="GZ100" s="15">
        <v>2008</v>
      </c>
      <c r="HA100" s="16"/>
      <c r="HB100" s="17"/>
      <c r="HC100" s="16"/>
      <c r="HD100" s="16"/>
      <c r="HE100" s="16"/>
      <c r="HF100" s="18"/>
      <c r="HG100" s="18"/>
      <c r="HH100" s="18"/>
      <c r="HI100" s="18"/>
      <c r="HJ100" s="18"/>
      <c r="HK100" s="18"/>
      <c r="HL100" s="19">
        <v>2009</v>
      </c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>
        <v>2010</v>
      </c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>
        <v>2011</v>
      </c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>
        <v>2012</v>
      </c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>
        <v>2013</v>
      </c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>
        <v>2014</v>
      </c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>
        <v>2015</v>
      </c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>
        <v>2016</v>
      </c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>
        <v>2017</v>
      </c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>
        <v>2018</v>
      </c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>
        <v>2019</v>
      </c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>
        <v>2020</v>
      </c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>
        <v>2021</v>
      </c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>
        <v>2022</v>
      </c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>
        <v>2023</v>
      </c>
      <c r="NY100" s="19"/>
      <c r="NZ100" s="19"/>
      <c r="OA100" s="19">
        <v>2023</v>
      </c>
      <c r="OB100" s="19"/>
      <c r="OC100" s="19"/>
      <c r="OD100" s="19"/>
      <c r="OE100" s="19"/>
      <c r="OF100" s="19"/>
      <c r="OG100" s="19"/>
      <c r="OH100" s="19"/>
      <c r="OI100" s="19"/>
      <c r="OJ100" s="19">
        <v>2024</v>
      </c>
      <c r="OK100" s="19"/>
      <c r="OL100" s="19"/>
    </row>
    <row r="101" spans="1:402" s="2" customFormat="1" x14ac:dyDescent="0.35">
      <c r="A101" s="26"/>
      <c r="B101" s="20" t="s">
        <v>3</v>
      </c>
      <c r="C101" s="20" t="s">
        <v>4</v>
      </c>
      <c r="D101" s="20" t="s">
        <v>5</v>
      </c>
      <c r="E101" s="20" t="s">
        <v>6</v>
      </c>
      <c r="F101" s="20" t="s">
        <v>7</v>
      </c>
      <c r="G101" s="20" t="s">
        <v>8</v>
      </c>
      <c r="H101" s="20" t="s">
        <v>9</v>
      </c>
      <c r="I101" s="20" t="s">
        <v>10</v>
      </c>
      <c r="J101" s="20" t="s">
        <v>11</v>
      </c>
      <c r="K101" s="20" t="s">
        <v>12</v>
      </c>
      <c r="L101" s="20" t="s">
        <v>13</v>
      </c>
      <c r="M101" s="20" t="s">
        <v>14</v>
      </c>
      <c r="N101" s="20" t="s">
        <v>3</v>
      </c>
      <c r="O101" s="20" t="s">
        <v>4</v>
      </c>
      <c r="P101" s="20" t="s">
        <v>5</v>
      </c>
      <c r="Q101" s="20" t="s">
        <v>15</v>
      </c>
      <c r="R101" s="22" t="s">
        <v>7</v>
      </c>
      <c r="S101" s="22" t="s">
        <v>8</v>
      </c>
      <c r="T101" s="22" t="s">
        <v>9</v>
      </c>
      <c r="U101" s="22" t="s">
        <v>10</v>
      </c>
      <c r="V101" s="22" t="s">
        <v>11</v>
      </c>
      <c r="W101" s="22" t="s">
        <v>12</v>
      </c>
      <c r="X101" s="22" t="s">
        <v>13</v>
      </c>
      <c r="Y101" s="22" t="s">
        <v>14</v>
      </c>
      <c r="Z101" s="22" t="s">
        <v>16</v>
      </c>
      <c r="AA101" s="22" t="s">
        <v>4</v>
      </c>
      <c r="AB101" s="22" t="s">
        <v>5</v>
      </c>
      <c r="AC101" s="22" t="s">
        <v>6</v>
      </c>
      <c r="AD101" s="22" t="s">
        <v>17</v>
      </c>
      <c r="AE101" s="22" t="s">
        <v>8</v>
      </c>
      <c r="AF101" s="22" t="s">
        <v>18</v>
      </c>
      <c r="AG101" s="22" t="s">
        <v>10</v>
      </c>
      <c r="AH101" s="22" t="s">
        <v>11</v>
      </c>
      <c r="AI101" s="22" t="s">
        <v>12</v>
      </c>
      <c r="AJ101" s="22" t="s">
        <v>13</v>
      </c>
      <c r="AK101" s="22" t="s">
        <v>14</v>
      </c>
      <c r="AL101" s="22" t="s">
        <v>16</v>
      </c>
      <c r="AM101" s="22" t="s">
        <v>19</v>
      </c>
      <c r="AN101" s="22" t="s">
        <v>5</v>
      </c>
      <c r="AO101" s="22" t="s">
        <v>6</v>
      </c>
      <c r="AP101" s="22" t="s">
        <v>7</v>
      </c>
      <c r="AQ101" s="22" t="s">
        <v>8</v>
      </c>
      <c r="AR101" s="22" t="s">
        <v>9</v>
      </c>
      <c r="AS101" s="22" t="s">
        <v>10</v>
      </c>
      <c r="AT101" s="22" t="s">
        <v>11</v>
      </c>
      <c r="AU101" s="22" t="s">
        <v>12</v>
      </c>
      <c r="AV101" s="22" t="s">
        <v>13</v>
      </c>
      <c r="AW101" s="22" t="s">
        <v>14</v>
      </c>
      <c r="AX101" s="22" t="s">
        <v>3</v>
      </c>
      <c r="AY101" s="22" t="s">
        <v>4</v>
      </c>
      <c r="AZ101" s="22" t="s">
        <v>5</v>
      </c>
      <c r="BA101" s="22" t="s">
        <v>6</v>
      </c>
      <c r="BB101" s="22" t="s">
        <v>7</v>
      </c>
      <c r="BC101" s="22" t="s">
        <v>8</v>
      </c>
      <c r="BD101" s="22" t="s">
        <v>18</v>
      </c>
      <c r="BE101" s="22" t="s">
        <v>10</v>
      </c>
      <c r="BF101" s="22" t="s">
        <v>11</v>
      </c>
      <c r="BG101" s="22" t="s">
        <v>12</v>
      </c>
      <c r="BH101" s="22" t="s">
        <v>20</v>
      </c>
      <c r="BI101" s="22" t="s">
        <v>21</v>
      </c>
      <c r="BJ101" s="22" t="s">
        <v>16</v>
      </c>
      <c r="BK101" s="22" t="s">
        <v>19</v>
      </c>
      <c r="BL101" s="22" t="s">
        <v>5</v>
      </c>
      <c r="BM101" s="22" t="s">
        <v>15</v>
      </c>
      <c r="BN101" s="22" t="s">
        <v>7</v>
      </c>
      <c r="BO101" s="22" t="s">
        <v>8</v>
      </c>
      <c r="BP101" s="22" t="s">
        <v>9</v>
      </c>
      <c r="BQ101" s="22" t="s">
        <v>10</v>
      </c>
      <c r="BR101" s="22" t="s">
        <v>11</v>
      </c>
      <c r="BS101" s="22" t="s">
        <v>12</v>
      </c>
      <c r="BT101" s="22" t="s">
        <v>20</v>
      </c>
      <c r="BU101" s="22" t="s">
        <v>21</v>
      </c>
      <c r="BV101" s="22" t="s">
        <v>22</v>
      </c>
      <c r="BW101" s="22" t="s">
        <v>4</v>
      </c>
      <c r="BX101" s="22" t="s">
        <v>5</v>
      </c>
      <c r="BY101" s="22" t="s">
        <v>6</v>
      </c>
      <c r="BZ101" s="22" t="s">
        <v>17</v>
      </c>
      <c r="CA101" s="22" t="s">
        <v>23</v>
      </c>
      <c r="CB101" s="22" t="s">
        <v>18</v>
      </c>
      <c r="CC101" s="22" t="s">
        <v>24</v>
      </c>
      <c r="CD101" s="22" t="s">
        <v>11</v>
      </c>
      <c r="CE101" s="22" t="s">
        <v>12</v>
      </c>
      <c r="CF101" s="22" t="s">
        <v>13</v>
      </c>
      <c r="CG101" s="22" t="s">
        <v>14</v>
      </c>
      <c r="CH101" s="22" t="s">
        <v>16</v>
      </c>
      <c r="CI101" s="22" t="s">
        <v>4</v>
      </c>
      <c r="CJ101" s="22" t="s">
        <v>5</v>
      </c>
      <c r="CK101" s="22" t="s">
        <v>6</v>
      </c>
      <c r="CL101" s="22" t="s">
        <v>7</v>
      </c>
      <c r="CM101" s="22" t="s">
        <v>8</v>
      </c>
      <c r="CN101" s="22" t="s">
        <v>18</v>
      </c>
      <c r="CO101" s="22" t="s">
        <v>10</v>
      </c>
      <c r="CP101" s="22" t="s">
        <v>11</v>
      </c>
      <c r="CQ101" s="22" t="s">
        <v>12</v>
      </c>
      <c r="CR101" s="22" t="s">
        <v>20</v>
      </c>
      <c r="CS101" s="22" t="s">
        <v>14</v>
      </c>
      <c r="CT101" s="22" t="s">
        <v>22</v>
      </c>
      <c r="CU101" s="22" t="s">
        <v>19</v>
      </c>
      <c r="CV101" s="22" t="s">
        <v>5</v>
      </c>
      <c r="CW101" s="22" t="s">
        <v>15</v>
      </c>
      <c r="CX101" s="22" t="s">
        <v>7</v>
      </c>
      <c r="CY101" s="22" t="s">
        <v>23</v>
      </c>
      <c r="CZ101" s="22" t="s">
        <v>18</v>
      </c>
      <c r="DA101" s="22" t="s">
        <v>24</v>
      </c>
      <c r="DB101" s="22" t="s">
        <v>11</v>
      </c>
      <c r="DC101" s="22" t="s">
        <v>12</v>
      </c>
      <c r="DD101" s="22" t="s">
        <v>13</v>
      </c>
      <c r="DE101" s="22" t="s">
        <v>14</v>
      </c>
      <c r="DF101" s="22" t="s">
        <v>16</v>
      </c>
      <c r="DG101" s="22" t="s">
        <v>4</v>
      </c>
      <c r="DH101" s="22" t="s">
        <v>5</v>
      </c>
      <c r="DI101" s="22" t="s">
        <v>15</v>
      </c>
      <c r="DJ101" s="22" t="s">
        <v>7</v>
      </c>
      <c r="DK101" s="22" t="s">
        <v>8</v>
      </c>
      <c r="DL101" s="22" t="s">
        <v>18</v>
      </c>
      <c r="DM101" s="22" t="s">
        <v>24</v>
      </c>
      <c r="DN101" s="22" t="s">
        <v>11</v>
      </c>
      <c r="DO101" s="22" t="s">
        <v>12</v>
      </c>
      <c r="DP101" s="22" t="s">
        <v>20</v>
      </c>
      <c r="DQ101" s="22" t="s">
        <v>14</v>
      </c>
      <c r="DR101" s="22" t="s">
        <v>22</v>
      </c>
      <c r="DS101" s="22" t="s">
        <v>19</v>
      </c>
      <c r="DT101" s="22" t="s">
        <v>5</v>
      </c>
      <c r="DU101" s="22" t="s">
        <v>15</v>
      </c>
      <c r="DV101" s="22" t="s">
        <v>7</v>
      </c>
      <c r="DW101" s="22" t="s">
        <v>8</v>
      </c>
      <c r="DX101" s="22" t="s">
        <v>18</v>
      </c>
      <c r="DY101" s="22" t="s">
        <v>24</v>
      </c>
      <c r="DZ101" s="22" t="s">
        <v>11</v>
      </c>
      <c r="EA101" s="22" t="s">
        <v>12</v>
      </c>
      <c r="EB101" s="22" t="s">
        <v>20</v>
      </c>
      <c r="EC101" s="22" t="s">
        <v>21</v>
      </c>
      <c r="ED101" s="22" t="s">
        <v>22</v>
      </c>
      <c r="EE101" s="22" t="s">
        <v>4</v>
      </c>
      <c r="EF101" s="22" t="s">
        <v>5</v>
      </c>
      <c r="EG101" s="22" t="s">
        <v>15</v>
      </c>
      <c r="EH101" s="22" t="s">
        <v>17</v>
      </c>
      <c r="EI101" s="22" t="s">
        <v>23</v>
      </c>
      <c r="EJ101" s="22" t="s">
        <v>18</v>
      </c>
      <c r="EK101" s="22" t="s">
        <v>24</v>
      </c>
      <c r="EL101" s="22" t="s">
        <v>11</v>
      </c>
      <c r="EM101" s="22" t="s">
        <v>12</v>
      </c>
      <c r="EN101" s="22" t="s">
        <v>20</v>
      </c>
      <c r="EO101" s="22" t="s">
        <v>21</v>
      </c>
      <c r="EP101" s="22" t="s">
        <v>22</v>
      </c>
      <c r="EQ101" s="22" t="s">
        <v>4</v>
      </c>
      <c r="ER101" s="22" t="s">
        <v>5</v>
      </c>
      <c r="ES101" s="22" t="s">
        <v>6</v>
      </c>
      <c r="ET101" s="22" t="s">
        <v>17</v>
      </c>
      <c r="EU101" s="22" t="s">
        <v>8</v>
      </c>
      <c r="EV101" s="22" t="s">
        <v>18</v>
      </c>
      <c r="EW101" s="22" t="s">
        <v>24</v>
      </c>
      <c r="EX101" s="22" t="s">
        <v>11</v>
      </c>
      <c r="EY101" s="22" t="s">
        <v>12</v>
      </c>
      <c r="EZ101" s="22" t="s">
        <v>20</v>
      </c>
      <c r="FA101" s="22" t="s">
        <v>14</v>
      </c>
      <c r="FB101" s="22" t="s">
        <v>22</v>
      </c>
      <c r="FC101" s="22" t="s">
        <v>4</v>
      </c>
      <c r="FD101" s="22" t="s">
        <v>5</v>
      </c>
      <c r="FE101" s="22" t="s">
        <v>6</v>
      </c>
      <c r="FF101" s="22" t="s">
        <v>7</v>
      </c>
      <c r="FG101" s="22" t="s">
        <v>8</v>
      </c>
      <c r="FH101" s="22" t="s">
        <v>9</v>
      </c>
      <c r="FI101" s="22" t="s">
        <v>24</v>
      </c>
      <c r="FJ101" s="22" t="s">
        <v>11</v>
      </c>
      <c r="FK101" s="22" t="s">
        <v>12</v>
      </c>
      <c r="FL101" s="22" t="s">
        <v>20</v>
      </c>
      <c r="FM101" s="22" t="s">
        <v>14</v>
      </c>
      <c r="FN101" s="22" t="s">
        <v>22</v>
      </c>
      <c r="FO101" s="22" t="s">
        <v>19</v>
      </c>
      <c r="FP101" s="22" t="s">
        <v>27</v>
      </c>
      <c r="FQ101" s="22" t="s">
        <v>15</v>
      </c>
      <c r="FR101" s="22" t="s">
        <v>7</v>
      </c>
      <c r="FS101" s="22" t="s">
        <v>8</v>
      </c>
      <c r="FT101" s="22" t="s">
        <v>9</v>
      </c>
      <c r="FU101" s="22" t="s">
        <v>10</v>
      </c>
      <c r="FV101" s="22" t="s">
        <v>11</v>
      </c>
      <c r="FW101" s="22" t="s">
        <v>12</v>
      </c>
      <c r="FX101" s="22" t="s">
        <v>13</v>
      </c>
      <c r="FY101" s="22" t="s">
        <v>14</v>
      </c>
      <c r="FZ101" s="22" t="s">
        <v>16</v>
      </c>
      <c r="GA101" s="22" t="s">
        <v>19</v>
      </c>
      <c r="GB101" s="22" t="s">
        <v>5</v>
      </c>
      <c r="GC101" s="22" t="s">
        <v>6</v>
      </c>
      <c r="GD101" s="22" t="s">
        <v>7</v>
      </c>
      <c r="GE101" s="22" t="s">
        <v>8</v>
      </c>
      <c r="GF101" s="22" t="s">
        <v>18</v>
      </c>
      <c r="GG101" s="22" t="s">
        <v>24</v>
      </c>
      <c r="GH101" s="22" t="s">
        <v>11</v>
      </c>
      <c r="GI101" s="22" t="s">
        <v>12</v>
      </c>
      <c r="GJ101" s="22" t="s">
        <v>13</v>
      </c>
      <c r="GK101" s="22" t="s">
        <v>14</v>
      </c>
      <c r="GL101" s="22" t="s">
        <v>22</v>
      </c>
      <c r="GM101" s="22" t="s">
        <v>4</v>
      </c>
      <c r="GN101" s="22" t="s">
        <v>5</v>
      </c>
      <c r="GO101" s="22" t="s">
        <v>6</v>
      </c>
      <c r="GP101" s="22" t="s">
        <v>7</v>
      </c>
      <c r="GQ101" s="22" t="s">
        <v>8</v>
      </c>
      <c r="GR101" s="22" t="s">
        <v>18</v>
      </c>
      <c r="GV101" s="20" t="s">
        <v>3</v>
      </c>
      <c r="GW101" s="21" t="s">
        <v>4</v>
      </c>
      <c r="GX101" s="20" t="s">
        <v>5</v>
      </c>
      <c r="GY101" s="20" t="s">
        <v>6</v>
      </c>
      <c r="GZ101" s="20" t="s">
        <v>7</v>
      </c>
      <c r="HA101" s="20" t="s">
        <v>8</v>
      </c>
      <c r="HB101" s="20" t="s">
        <v>9</v>
      </c>
      <c r="HC101" s="20" t="s">
        <v>10</v>
      </c>
      <c r="HD101" s="20" t="s">
        <v>11</v>
      </c>
      <c r="HE101" s="20" t="s">
        <v>12</v>
      </c>
      <c r="HF101" s="20" t="s">
        <v>13</v>
      </c>
      <c r="HG101" s="20" t="s">
        <v>14</v>
      </c>
      <c r="HH101" s="20" t="s">
        <v>3</v>
      </c>
      <c r="HI101" s="20" t="s">
        <v>4</v>
      </c>
      <c r="HJ101" s="20" t="s">
        <v>5</v>
      </c>
      <c r="HK101" s="20" t="s">
        <v>15</v>
      </c>
      <c r="HL101" s="22" t="s">
        <v>7</v>
      </c>
      <c r="HM101" s="22" t="s">
        <v>8</v>
      </c>
      <c r="HN101" s="22" t="s">
        <v>9</v>
      </c>
      <c r="HO101" s="22" t="s">
        <v>10</v>
      </c>
      <c r="HP101" s="22" t="s">
        <v>11</v>
      </c>
      <c r="HQ101" s="22" t="s">
        <v>12</v>
      </c>
      <c r="HR101" s="22" t="s">
        <v>13</v>
      </c>
      <c r="HS101" s="22" t="s">
        <v>14</v>
      </c>
      <c r="HT101" s="22" t="s">
        <v>16</v>
      </c>
      <c r="HU101" s="22" t="s">
        <v>4</v>
      </c>
      <c r="HV101" s="22" t="s">
        <v>5</v>
      </c>
      <c r="HW101" s="22" t="s">
        <v>6</v>
      </c>
      <c r="HX101" s="22" t="s">
        <v>17</v>
      </c>
      <c r="HY101" s="22" t="s">
        <v>8</v>
      </c>
      <c r="HZ101" s="22" t="s">
        <v>18</v>
      </c>
      <c r="IA101" s="22" t="s">
        <v>10</v>
      </c>
      <c r="IB101" s="22" t="s">
        <v>11</v>
      </c>
      <c r="IC101" s="22" t="s">
        <v>12</v>
      </c>
      <c r="ID101" s="22" t="s">
        <v>13</v>
      </c>
      <c r="IE101" s="22" t="s">
        <v>26</v>
      </c>
      <c r="IF101" s="22" t="s">
        <v>16</v>
      </c>
      <c r="IG101" s="22" t="s">
        <v>4</v>
      </c>
      <c r="IH101" s="22" t="s">
        <v>5</v>
      </c>
      <c r="II101" s="22" t="s">
        <v>6</v>
      </c>
      <c r="IJ101" s="22" t="s">
        <v>7</v>
      </c>
      <c r="IK101" s="22" t="s">
        <v>8</v>
      </c>
      <c r="IL101" s="22" t="s">
        <v>18</v>
      </c>
      <c r="IM101" s="22" t="s">
        <v>10</v>
      </c>
      <c r="IN101" s="22" t="s">
        <v>11</v>
      </c>
      <c r="IO101" s="22" t="s">
        <v>12</v>
      </c>
      <c r="IP101" s="22" t="s">
        <v>13</v>
      </c>
      <c r="IQ101" s="22" t="s">
        <v>14</v>
      </c>
      <c r="IR101" s="22" t="s">
        <v>3</v>
      </c>
      <c r="IS101" s="22" t="s">
        <v>4</v>
      </c>
      <c r="IT101" s="22" t="s">
        <v>5</v>
      </c>
      <c r="IU101" s="22" t="s">
        <v>15</v>
      </c>
      <c r="IV101" s="22" t="s">
        <v>7</v>
      </c>
      <c r="IW101" s="22" t="s">
        <v>8</v>
      </c>
      <c r="IX101" s="22" t="s">
        <v>18</v>
      </c>
      <c r="IY101" s="22" t="s">
        <v>10</v>
      </c>
      <c r="IZ101" s="22" t="s">
        <v>11</v>
      </c>
      <c r="JA101" s="22" t="s">
        <v>12</v>
      </c>
      <c r="JB101" s="22" t="s">
        <v>20</v>
      </c>
      <c r="JC101" s="22" t="s">
        <v>21</v>
      </c>
      <c r="JD101" s="22" t="s">
        <v>16</v>
      </c>
      <c r="JE101" s="22" t="s">
        <v>4</v>
      </c>
      <c r="JF101" s="22" t="s">
        <v>5</v>
      </c>
      <c r="JG101" s="22" t="s">
        <v>6</v>
      </c>
      <c r="JH101" s="22" t="s">
        <v>7</v>
      </c>
      <c r="JI101" s="22" t="s">
        <v>8</v>
      </c>
      <c r="JJ101" s="22" t="s">
        <v>9</v>
      </c>
      <c r="JK101" s="22" t="s">
        <v>10</v>
      </c>
      <c r="JL101" s="22" t="s">
        <v>11</v>
      </c>
      <c r="JM101" s="22" t="s">
        <v>12</v>
      </c>
      <c r="JN101" s="22" t="s">
        <v>20</v>
      </c>
      <c r="JO101" s="22" t="s">
        <v>21</v>
      </c>
      <c r="JP101" s="22" t="s">
        <v>22</v>
      </c>
      <c r="JQ101" s="22" t="s">
        <v>4</v>
      </c>
      <c r="JR101" s="22" t="s">
        <v>5</v>
      </c>
      <c r="JS101" s="22" t="s">
        <v>6</v>
      </c>
      <c r="JT101" s="22" t="s">
        <v>17</v>
      </c>
      <c r="JU101" s="22" t="s">
        <v>23</v>
      </c>
      <c r="JV101" s="22" t="s">
        <v>18</v>
      </c>
      <c r="JW101" s="22" t="s">
        <v>24</v>
      </c>
      <c r="JX101" s="22" t="s">
        <v>11</v>
      </c>
      <c r="JY101" s="22" t="s">
        <v>12</v>
      </c>
      <c r="JZ101" s="22" t="s">
        <v>13</v>
      </c>
      <c r="KA101" s="22" t="s">
        <v>14</v>
      </c>
      <c r="KB101" s="22" t="s">
        <v>22</v>
      </c>
      <c r="KC101" s="22" t="s">
        <v>4</v>
      </c>
      <c r="KD101" s="22" t="s">
        <v>5</v>
      </c>
      <c r="KE101" s="22" t="s">
        <v>6</v>
      </c>
      <c r="KF101" s="22" t="s">
        <v>17</v>
      </c>
      <c r="KG101" s="22" t="s">
        <v>8</v>
      </c>
      <c r="KH101" s="22" t="s">
        <v>18</v>
      </c>
      <c r="KI101" s="22" t="s">
        <v>10</v>
      </c>
      <c r="KJ101" s="22" t="s">
        <v>11</v>
      </c>
      <c r="KK101" s="22" t="s">
        <v>12</v>
      </c>
      <c r="KL101" s="22" t="s">
        <v>20</v>
      </c>
      <c r="KM101" s="22" t="s">
        <v>14</v>
      </c>
      <c r="KN101" s="22" t="s">
        <v>16</v>
      </c>
      <c r="KO101" s="22" t="s">
        <v>19</v>
      </c>
      <c r="KP101" s="22" t="s">
        <v>5</v>
      </c>
      <c r="KQ101" s="22" t="s">
        <v>6</v>
      </c>
      <c r="KR101" s="22" t="s">
        <v>7</v>
      </c>
      <c r="KS101" s="22" t="s">
        <v>8</v>
      </c>
      <c r="KT101" s="22" t="s">
        <v>18</v>
      </c>
      <c r="KU101" s="22" t="s">
        <v>24</v>
      </c>
      <c r="KV101" s="22" t="s">
        <v>11</v>
      </c>
      <c r="KW101" s="22" t="s">
        <v>12</v>
      </c>
      <c r="KX101" s="22" t="s">
        <v>20</v>
      </c>
      <c r="KY101" s="22" t="s">
        <v>14</v>
      </c>
      <c r="KZ101" s="22" t="s">
        <v>16</v>
      </c>
      <c r="LA101" s="22" t="s">
        <v>4</v>
      </c>
      <c r="LB101" s="22" t="s">
        <v>27</v>
      </c>
      <c r="LC101" s="22" t="s">
        <v>6</v>
      </c>
      <c r="LD101" s="22" t="s">
        <v>7</v>
      </c>
      <c r="LE101" s="22" t="s">
        <v>8</v>
      </c>
      <c r="LF101" s="22" t="s">
        <v>9</v>
      </c>
      <c r="LG101" s="22" t="s">
        <v>24</v>
      </c>
      <c r="LH101" s="22" t="s">
        <v>11</v>
      </c>
      <c r="LI101" s="22" t="s">
        <v>12</v>
      </c>
      <c r="LJ101" s="22" t="s">
        <v>20</v>
      </c>
      <c r="LK101" s="22" t="s">
        <v>14</v>
      </c>
      <c r="LL101" s="22" t="s">
        <v>22</v>
      </c>
      <c r="LM101" s="22" t="s">
        <v>19</v>
      </c>
      <c r="LN101" s="22" t="s">
        <v>5</v>
      </c>
      <c r="LO101" s="22" t="s">
        <v>15</v>
      </c>
      <c r="LP101" s="22" t="s">
        <v>7</v>
      </c>
      <c r="LQ101" s="22" t="s">
        <v>8</v>
      </c>
      <c r="LR101" s="22" t="s">
        <v>18</v>
      </c>
      <c r="LS101" s="22" t="s">
        <v>10</v>
      </c>
      <c r="LT101" s="22" t="s">
        <v>11</v>
      </c>
      <c r="LU101" s="22" t="s">
        <v>12</v>
      </c>
      <c r="LV101" s="22" t="s">
        <v>13</v>
      </c>
      <c r="LW101" s="22" t="s">
        <v>14</v>
      </c>
      <c r="LX101" s="22" t="s">
        <v>22</v>
      </c>
      <c r="LY101" s="22" t="s">
        <v>4</v>
      </c>
      <c r="LZ101" s="22" t="s">
        <v>5</v>
      </c>
      <c r="MA101" s="22" t="s">
        <v>6</v>
      </c>
      <c r="MB101" s="22" t="s">
        <v>17</v>
      </c>
      <c r="MC101" s="22" t="s">
        <v>8</v>
      </c>
      <c r="MD101" s="22" t="s">
        <v>18</v>
      </c>
      <c r="ME101" s="22" t="s">
        <v>24</v>
      </c>
      <c r="MF101" s="22" t="s">
        <v>11</v>
      </c>
      <c r="MG101" s="22" t="s">
        <v>101</v>
      </c>
      <c r="MH101" s="22" t="s">
        <v>20</v>
      </c>
      <c r="MI101" s="22" t="s">
        <v>14</v>
      </c>
      <c r="MJ101" s="22" t="s">
        <v>22</v>
      </c>
      <c r="MK101" s="22" t="s">
        <v>4</v>
      </c>
      <c r="ML101" s="22" t="s">
        <v>5</v>
      </c>
      <c r="MM101" s="22" t="s">
        <v>6</v>
      </c>
      <c r="MN101" s="22" t="s">
        <v>17</v>
      </c>
      <c r="MO101" s="22" t="s">
        <v>8</v>
      </c>
      <c r="MP101" s="22" t="s">
        <v>18</v>
      </c>
      <c r="MQ101" s="22" t="s">
        <v>24</v>
      </c>
      <c r="MR101" s="22" t="s">
        <v>11</v>
      </c>
      <c r="MS101" s="22" t="s">
        <v>12</v>
      </c>
      <c r="MT101" s="22" t="s">
        <v>20</v>
      </c>
      <c r="MU101" s="22" t="s">
        <v>14</v>
      </c>
      <c r="MV101" s="22" t="s">
        <v>22</v>
      </c>
      <c r="MW101" s="22" t="s">
        <v>4</v>
      </c>
      <c r="MX101" s="22" t="s">
        <v>5</v>
      </c>
      <c r="MY101" s="22" t="s">
        <v>6</v>
      </c>
      <c r="MZ101" s="22" t="s">
        <v>7</v>
      </c>
      <c r="NA101" s="22" t="s">
        <v>8</v>
      </c>
      <c r="NB101" s="22" t="s">
        <v>18</v>
      </c>
      <c r="NC101" s="22" t="s">
        <v>24</v>
      </c>
      <c r="ND101" s="22" t="s">
        <v>11</v>
      </c>
      <c r="NE101" s="22" t="s">
        <v>12</v>
      </c>
      <c r="NF101" s="22" t="s">
        <v>20</v>
      </c>
      <c r="NG101" s="22" t="s">
        <v>14</v>
      </c>
      <c r="NH101" s="22" t="s">
        <v>22</v>
      </c>
      <c r="NI101" s="22" t="s">
        <v>19</v>
      </c>
      <c r="NJ101" s="22" t="s">
        <v>27</v>
      </c>
      <c r="NK101" s="22" t="s">
        <v>6</v>
      </c>
      <c r="NL101" s="22" t="s">
        <v>7</v>
      </c>
      <c r="NM101" s="22" t="s">
        <v>8</v>
      </c>
      <c r="NN101" s="22" t="s">
        <v>9</v>
      </c>
      <c r="NO101" s="22" t="s">
        <v>10</v>
      </c>
      <c r="NP101" s="22" t="s">
        <v>11</v>
      </c>
      <c r="NQ101" s="22" t="s">
        <v>12</v>
      </c>
      <c r="NR101" s="22" t="s">
        <v>20</v>
      </c>
      <c r="NS101" s="22" t="s">
        <v>14</v>
      </c>
      <c r="NT101" s="22" t="s">
        <v>16</v>
      </c>
      <c r="NU101" s="22" t="s">
        <v>19</v>
      </c>
      <c r="NV101" s="22" t="s">
        <v>5</v>
      </c>
      <c r="NW101" s="22" t="s">
        <v>6</v>
      </c>
      <c r="NX101" s="22" t="s">
        <v>7</v>
      </c>
      <c r="NY101" s="22" t="s">
        <v>8</v>
      </c>
      <c r="NZ101" s="22" t="s">
        <v>18</v>
      </c>
      <c r="OA101" s="22" t="s">
        <v>24</v>
      </c>
      <c r="OB101" s="22" t="s">
        <v>11</v>
      </c>
      <c r="OC101" s="22" t="s">
        <v>12</v>
      </c>
      <c r="OD101" s="22" t="s">
        <v>13</v>
      </c>
      <c r="OE101" s="22" t="s">
        <v>14</v>
      </c>
      <c r="OF101" s="22" t="s">
        <v>16</v>
      </c>
      <c r="OG101" s="22" t="s">
        <v>4</v>
      </c>
      <c r="OH101" s="22" t="s">
        <v>5</v>
      </c>
      <c r="OI101" s="22" t="s">
        <v>15</v>
      </c>
      <c r="OJ101" s="22" t="s">
        <v>7</v>
      </c>
      <c r="OK101" s="22" t="s">
        <v>8</v>
      </c>
      <c r="OL101" s="22" t="s">
        <v>18</v>
      </c>
    </row>
    <row r="102" spans="1:402" s="145" customFormat="1" x14ac:dyDescent="0.35">
      <c r="A102" s="12"/>
      <c r="B102" s="151">
        <f>'[1]Sept 07'!H37</f>
        <v>0.90667454223272292</v>
      </c>
      <c r="C102" s="151">
        <f>'[1]Oct 07'!H37</f>
        <v>0.73048656005444024</v>
      </c>
      <c r="D102" s="151">
        <f>'[1]Nov 07'!H37</f>
        <v>0.95095095095095095</v>
      </c>
      <c r="E102" s="151">
        <f>'[1]Dec 07'!H37</f>
        <v>0.92955367913148368</v>
      </c>
      <c r="F102" s="151">
        <f>'[1]Jan 08'!H37</f>
        <v>0.90932777488275141</v>
      </c>
      <c r="G102" s="145">
        <v>0.89100000000000001</v>
      </c>
      <c r="H102" s="145">
        <f>'[1]Mar 08'!H37</f>
        <v>0.88798370672097759</v>
      </c>
      <c r="I102" s="145">
        <v>0.87030889648710508</v>
      </c>
      <c r="J102" s="145">
        <f>'[1]May 08'!H37</f>
        <v>0.88819418904008829</v>
      </c>
      <c r="K102" s="145">
        <f>'[1]Jun 08'!H45</f>
        <v>0.93555722569657518</v>
      </c>
      <c r="L102" s="145">
        <f>'[1]Jul 08'!H37</f>
        <v>0.78620443173695498</v>
      </c>
      <c r="M102" s="145">
        <f>'[1]Aug 08'!H45</f>
        <v>0.92771177784216796</v>
      </c>
      <c r="N102" s="145">
        <v>0.95499999999999996</v>
      </c>
      <c r="O102" s="145">
        <v>0.78400000000000003</v>
      </c>
      <c r="P102" s="145">
        <v>0.88700000000000001</v>
      </c>
      <c r="Q102" s="145">
        <v>0.86399999999999999</v>
      </c>
      <c r="R102" s="145">
        <v>0.81299999999999994</v>
      </c>
      <c r="S102" s="145">
        <v>0.94399999999999995</v>
      </c>
      <c r="T102" s="145">
        <v>0.83299999999999996</v>
      </c>
      <c r="U102" s="145">
        <v>0.84699999999999998</v>
      </c>
      <c r="V102" s="145">
        <v>0.83199999999999996</v>
      </c>
      <c r="W102" s="145">
        <v>0.90700000000000003</v>
      </c>
      <c r="X102" s="155" t="s">
        <v>50</v>
      </c>
      <c r="Y102" s="145">
        <v>0.64700000000000002</v>
      </c>
      <c r="Z102" s="145">
        <f>0</f>
        <v>0</v>
      </c>
      <c r="AA102" s="145">
        <v>0.82399999999999995</v>
      </c>
      <c r="AB102" s="145">
        <v>0.77300000000000002</v>
      </c>
      <c r="AC102" s="145">
        <v>0.877</v>
      </c>
      <c r="AD102" s="145">
        <v>0.79</v>
      </c>
      <c r="AE102" s="145">
        <v>0.81100000000000005</v>
      </c>
      <c r="AF102" s="145">
        <v>0.86899999999999999</v>
      </c>
      <c r="AG102" s="145">
        <v>0.81399999999999995</v>
      </c>
      <c r="AH102" s="145">
        <v>0.89300000000000002</v>
      </c>
      <c r="AI102" s="27">
        <v>0.879</v>
      </c>
      <c r="AJ102" s="27">
        <v>0.82199999999999995</v>
      </c>
      <c r="AK102" s="27">
        <v>0.76500000000000001</v>
      </c>
      <c r="AL102" s="27">
        <v>0.77900000000000003</v>
      </c>
      <c r="AM102" s="27">
        <v>0.79100000000000004</v>
      </c>
      <c r="AN102" s="27">
        <v>0.64200000000000002</v>
      </c>
      <c r="AO102" s="27">
        <v>0.86399999999999999</v>
      </c>
      <c r="AP102" s="27">
        <v>0.74399999999999999</v>
      </c>
      <c r="AQ102" s="27">
        <v>0.79500000000000004</v>
      </c>
      <c r="AR102" s="27">
        <v>0.85699999999999998</v>
      </c>
      <c r="AS102" s="145">
        <v>0.83799999999999997</v>
      </c>
      <c r="AT102" s="145">
        <v>0.83899999999999997</v>
      </c>
      <c r="AU102" s="145">
        <v>0.83799999999999997</v>
      </c>
      <c r="AV102" s="145" t="s">
        <v>30</v>
      </c>
      <c r="AW102" s="145">
        <f>3875000/4795000</f>
        <v>0.80813347236704902</v>
      </c>
      <c r="AX102" s="145">
        <v>0.77900000000000003</v>
      </c>
      <c r="AY102" s="145">
        <v>0.86599999999999999</v>
      </c>
      <c r="AZ102" s="145">
        <v>0.89700000000000002</v>
      </c>
      <c r="BA102" s="145">
        <v>0.86099999999999999</v>
      </c>
      <c r="BB102" s="145" t="s">
        <v>30</v>
      </c>
      <c r="BC102" s="145">
        <v>0.81299999999999994</v>
      </c>
      <c r="BD102" s="145">
        <v>0.54700000000000004</v>
      </c>
      <c r="BE102" s="145">
        <v>0.96099999999999997</v>
      </c>
      <c r="BF102" s="145">
        <v>0.85499999999999998</v>
      </c>
      <c r="BG102" s="145">
        <v>0.86699999999999999</v>
      </c>
      <c r="BH102" s="145">
        <v>0.85699999999999998</v>
      </c>
      <c r="BI102" s="145">
        <v>0.86599999999999999</v>
      </c>
      <c r="BJ102" s="145">
        <v>0.89600000000000002</v>
      </c>
      <c r="BK102" s="145">
        <v>0.83699999999999997</v>
      </c>
      <c r="BL102" s="145">
        <v>0.84499999999999997</v>
      </c>
      <c r="BM102" s="145">
        <v>0.91100000000000003</v>
      </c>
      <c r="BN102" s="145" t="s">
        <v>30</v>
      </c>
      <c r="BO102" s="145">
        <v>0.92300000000000004</v>
      </c>
      <c r="BP102" s="145">
        <v>0.83199999999999996</v>
      </c>
      <c r="BQ102" s="145">
        <v>0.85599999999999998</v>
      </c>
      <c r="BR102" s="145">
        <v>0.89300000000000002</v>
      </c>
      <c r="BS102" s="145" t="s">
        <v>30</v>
      </c>
      <c r="BT102" s="145">
        <v>0.84799999999999998</v>
      </c>
      <c r="BU102" s="145">
        <v>0.94499999999999995</v>
      </c>
      <c r="BV102" s="145">
        <v>0.91400000000000003</v>
      </c>
      <c r="BW102" s="145">
        <v>0.85099999999999998</v>
      </c>
      <c r="BX102" s="145">
        <v>0.93799999999999994</v>
      </c>
      <c r="BY102" s="145">
        <v>0.94</v>
      </c>
      <c r="BZ102" s="145">
        <v>0.93400000000000005</v>
      </c>
      <c r="CA102" s="145">
        <v>0.98099999999999998</v>
      </c>
      <c r="CB102" s="145">
        <v>0.93899999999999995</v>
      </c>
      <c r="CC102" s="145">
        <v>0.92400000000000004</v>
      </c>
      <c r="CD102" s="145">
        <v>0.92300000000000004</v>
      </c>
      <c r="CE102" s="145">
        <v>0.877</v>
      </c>
      <c r="CF102" s="145">
        <v>0.89500000000000002</v>
      </c>
      <c r="CG102" s="145">
        <v>0.90800000000000003</v>
      </c>
      <c r="CH102" s="145">
        <v>0.86</v>
      </c>
      <c r="CI102" s="145">
        <v>0.93</v>
      </c>
      <c r="CJ102" s="145">
        <v>0.97299999999999998</v>
      </c>
      <c r="CK102" s="145">
        <v>0.89900000000000002</v>
      </c>
      <c r="CL102" s="145">
        <v>0.89200000000000002</v>
      </c>
      <c r="CM102" s="145">
        <v>0.97199999999999998</v>
      </c>
      <c r="CN102" s="145">
        <v>0.88500000000000001</v>
      </c>
      <c r="CO102" s="145">
        <v>0.89</v>
      </c>
      <c r="CP102" s="145">
        <v>0.89400000000000002</v>
      </c>
      <c r="CQ102" s="145">
        <v>0.91200000000000003</v>
      </c>
      <c r="CR102" s="145">
        <v>0.81299999999999994</v>
      </c>
      <c r="CS102" s="145">
        <v>0</v>
      </c>
      <c r="CT102" s="145">
        <v>0.92400000000000004</v>
      </c>
      <c r="CU102" s="145">
        <v>0.872</v>
      </c>
      <c r="CV102" s="145">
        <v>0.89300000000000002</v>
      </c>
      <c r="CW102" s="145">
        <v>1.012</v>
      </c>
      <c r="CX102" s="145">
        <v>0.95299999999999996</v>
      </c>
      <c r="CY102" s="145">
        <v>0.91300000000000003</v>
      </c>
      <c r="CZ102" s="145">
        <v>0.90900000000000003</v>
      </c>
      <c r="DA102" s="145">
        <v>0.96399999999999997</v>
      </c>
      <c r="DB102" s="145">
        <v>0.92900000000000005</v>
      </c>
      <c r="DC102" s="145">
        <v>0.94699999999999995</v>
      </c>
      <c r="DD102" s="145">
        <v>0.89700000000000002</v>
      </c>
      <c r="DE102" s="145">
        <v>0.91100000000000003</v>
      </c>
      <c r="DF102" s="145">
        <v>0.97199999999999998</v>
      </c>
      <c r="DG102" s="145">
        <v>0.95199999999999996</v>
      </c>
      <c r="DH102" s="145">
        <v>0.94</v>
      </c>
      <c r="DI102" s="145">
        <v>0.92800000000000005</v>
      </c>
      <c r="DJ102" s="145">
        <v>0.89700000000000002</v>
      </c>
      <c r="DK102" s="145">
        <v>0.94299999999999995</v>
      </c>
      <c r="DL102" s="145">
        <v>0.94199999999999995</v>
      </c>
      <c r="DM102" s="145">
        <v>0.91300000000000003</v>
      </c>
      <c r="DN102" s="145">
        <v>0.88300000000000001</v>
      </c>
      <c r="DO102" s="145">
        <v>0.90100000000000002</v>
      </c>
      <c r="DP102" s="145">
        <v>0.94899999999999995</v>
      </c>
      <c r="DQ102" s="145">
        <v>0.91400000000000003</v>
      </c>
      <c r="DR102" s="145">
        <v>0.80800000000000005</v>
      </c>
      <c r="DS102" s="145">
        <v>0.94499999999999995</v>
      </c>
      <c r="DT102" s="145">
        <v>0.93400000000000005</v>
      </c>
      <c r="DU102" s="145">
        <v>0.89800000000000002</v>
      </c>
      <c r="DV102" s="145">
        <v>0.90700000000000003</v>
      </c>
      <c r="DW102" s="145">
        <v>0.96599999999999997</v>
      </c>
      <c r="DX102" s="145">
        <v>0.79800000000000004</v>
      </c>
      <c r="DY102" s="145">
        <v>0.92500000000000004</v>
      </c>
      <c r="DZ102" s="145">
        <v>0.92700000000000005</v>
      </c>
      <c r="EA102" s="145">
        <v>0.94899999999999995</v>
      </c>
      <c r="EB102" s="145">
        <v>0.86099999999999999</v>
      </c>
      <c r="EC102" s="145">
        <v>0.94399999999999995</v>
      </c>
      <c r="ED102" s="145">
        <v>0.99099999999999999</v>
      </c>
      <c r="EE102" s="145">
        <v>0.97699999999999998</v>
      </c>
      <c r="EF102" s="145">
        <v>0.96599999999999997</v>
      </c>
      <c r="EG102" s="145">
        <v>0.92900000000000005</v>
      </c>
      <c r="EH102" s="145">
        <v>0.96</v>
      </c>
      <c r="EI102" s="145">
        <v>0.82599999999999996</v>
      </c>
      <c r="EJ102" s="145">
        <v>0.94399999999999995</v>
      </c>
      <c r="EK102" s="145">
        <v>0.93799999999999994</v>
      </c>
      <c r="EL102" s="145">
        <v>0.94199999999999995</v>
      </c>
      <c r="EM102" s="145">
        <v>0.93300000000000005</v>
      </c>
      <c r="EN102" s="145">
        <v>0.91700000000000004</v>
      </c>
      <c r="EO102" s="145">
        <v>0.93899999999999995</v>
      </c>
      <c r="EP102" s="145" t="s">
        <v>30</v>
      </c>
      <c r="EQ102" s="145">
        <v>0.92400000000000004</v>
      </c>
      <c r="ER102" s="145">
        <v>0.95099999999999996</v>
      </c>
      <c r="ES102" s="145">
        <v>0.93400000000000005</v>
      </c>
      <c r="ET102" s="145">
        <v>0.95699999999999996</v>
      </c>
      <c r="EU102" s="145">
        <v>0.93899999999999995</v>
      </c>
      <c r="EV102" s="145">
        <v>0.95499999999999996</v>
      </c>
      <c r="EW102" s="145">
        <v>0.90200000000000002</v>
      </c>
      <c r="EX102" s="145">
        <v>0.98699999999999999</v>
      </c>
      <c r="EY102" s="145">
        <v>0.94</v>
      </c>
      <c r="EZ102" s="145">
        <v>0.94099999999999995</v>
      </c>
      <c r="FA102" s="145">
        <v>0.93500000000000005</v>
      </c>
      <c r="FB102" s="145">
        <v>0.96399999999999997</v>
      </c>
      <c r="FC102" s="145">
        <v>0.872</v>
      </c>
      <c r="FD102" s="145">
        <v>0.94899999999999995</v>
      </c>
      <c r="FE102" s="145">
        <v>0.96199999999999997</v>
      </c>
      <c r="FF102" s="145">
        <v>0.95599999999999996</v>
      </c>
      <c r="FG102" s="145">
        <v>0.91500000000000004</v>
      </c>
      <c r="FH102" s="145">
        <v>0.96499999999999997</v>
      </c>
      <c r="FI102" s="145">
        <v>0.95399999999999996</v>
      </c>
      <c r="FJ102" s="145">
        <v>0.96</v>
      </c>
      <c r="FK102" s="145">
        <v>0.96299999999999997</v>
      </c>
      <c r="FL102" s="145">
        <v>0.97499999999999998</v>
      </c>
      <c r="FM102" s="145">
        <v>0.95699999999999996</v>
      </c>
      <c r="FN102" s="145">
        <v>0.93799999999999994</v>
      </c>
      <c r="FO102" s="145">
        <v>0.95499999999999996</v>
      </c>
      <c r="FP102" s="145">
        <v>0.97399999999999998</v>
      </c>
      <c r="FQ102" s="145">
        <v>0.97899999999999998</v>
      </c>
      <c r="FR102" s="145">
        <v>0.92400000000000004</v>
      </c>
      <c r="FS102" s="145">
        <v>0.99099999999999999</v>
      </c>
      <c r="FT102" s="145">
        <v>0.97099999999999997</v>
      </c>
      <c r="FU102" s="145">
        <v>0.98599999999999999</v>
      </c>
      <c r="FV102" s="145">
        <v>0.98699999999999999</v>
      </c>
      <c r="FW102" s="145">
        <v>0.95799999999999996</v>
      </c>
      <c r="FX102" s="145">
        <v>0.95699999999999996</v>
      </c>
      <c r="FY102" s="145">
        <v>0.91700000000000004</v>
      </c>
      <c r="FZ102" s="145">
        <v>0.97</v>
      </c>
      <c r="GA102" s="145">
        <v>0.94599999999999995</v>
      </c>
      <c r="GB102" s="145">
        <v>0.97099999999999997</v>
      </c>
      <c r="GC102" s="145">
        <v>0.95399999999999996</v>
      </c>
      <c r="GD102" s="145">
        <v>0.95399999999999996</v>
      </c>
      <c r="GE102" s="145">
        <v>0.94799999999999995</v>
      </c>
      <c r="GF102" s="145">
        <v>0.95199999999999996</v>
      </c>
      <c r="GG102" s="145">
        <v>0.92800000000000005</v>
      </c>
      <c r="GH102" s="145">
        <v>0.94</v>
      </c>
      <c r="GI102" s="145">
        <v>0.96899999999999997</v>
      </c>
      <c r="GJ102" s="145">
        <v>0.95799999999999996</v>
      </c>
      <c r="GK102" s="145">
        <v>0.89</v>
      </c>
      <c r="GL102" s="145">
        <v>0.94799999999999995</v>
      </c>
      <c r="GM102" s="145">
        <v>0.97399999999999998</v>
      </c>
      <c r="GN102" s="145">
        <v>0.92100000000000004</v>
      </c>
      <c r="GO102" s="145">
        <v>0.95299999999999996</v>
      </c>
      <c r="GP102" s="145">
        <v>0.95699999999999996</v>
      </c>
      <c r="GQ102" s="145">
        <v>0.97099999999999997</v>
      </c>
      <c r="GR102" s="145">
        <v>0.96</v>
      </c>
      <c r="GS102" s="144"/>
      <c r="GT102" s="152"/>
      <c r="GU102" s="152"/>
      <c r="GV102" s="151">
        <f>'[1]Sept 07'!H39</f>
        <v>8.130081300813009E-3</v>
      </c>
      <c r="GW102" s="151">
        <f>'[1]Oct 07'!H47</f>
        <v>6.0887512899896801E-2</v>
      </c>
      <c r="GX102" s="151">
        <f>'[1]Nov 07'!H39</f>
        <v>3.4364261168384879E-3</v>
      </c>
      <c r="GY102" s="151">
        <f>'[1]Dec 07'!H39</f>
        <v>6.6666666666666671E-3</v>
      </c>
      <c r="GZ102" s="145">
        <f>'[1]Jan 08'!H39</f>
        <v>6.0606060606060606E-3</v>
      </c>
      <c r="HA102" s="145">
        <v>5.2999999999999999E-2</v>
      </c>
      <c r="HB102" s="145">
        <f>'[1]Mar 08'!H47</f>
        <v>5.7156133828996279E-2</v>
      </c>
      <c r="HC102" s="145">
        <v>6.3544363379618732E-2</v>
      </c>
      <c r="HD102" s="145">
        <f>'[1]May 08'!H39</f>
        <v>1.238390092879257E-2</v>
      </c>
      <c r="HE102" s="145">
        <f>'[1]Jun 08'!H39</f>
        <v>1.0101010101010102E-2</v>
      </c>
      <c r="HF102" s="145">
        <f>'[1]Jul 08'!H39</f>
        <v>7.2202166064981952E-3</v>
      </c>
      <c r="HG102" s="145">
        <v>1.4999999999999999E-2</v>
      </c>
      <c r="HH102" s="145">
        <v>2.1999999999999999E-2</v>
      </c>
      <c r="HI102" s="145">
        <v>3.0000000000000001E-3</v>
      </c>
      <c r="HJ102" s="145">
        <v>2.4E-2</v>
      </c>
      <c r="HK102" s="145">
        <v>1.4E-2</v>
      </c>
      <c r="HL102" s="145">
        <v>7.0000000000000001E-3</v>
      </c>
      <c r="HM102" s="145">
        <v>1.0999999999999999E-2</v>
      </c>
      <c r="HN102" s="145">
        <v>2.4E-2</v>
      </c>
      <c r="HO102" s="145">
        <v>2.1999999999999999E-2</v>
      </c>
      <c r="HP102" s="145">
        <v>0.02</v>
      </c>
      <c r="HQ102" s="145">
        <v>1.0999999999999999E-2</v>
      </c>
      <c r="HR102" s="145">
        <v>1.2999999999999999E-2</v>
      </c>
      <c r="HS102" s="145">
        <v>1.2999999999999999E-2</v>
      </c>
      <c r="HT102" s="145">
        <v>0</v>
      </c>
      <c r="HU102" s="145">
        <v>1.9E-2</v>
      </c>
      <c r="HV102" s="145">
        <v>1.2999999999999999E-2</v>
      </c>
      <c r="HW102" s="145">
        <v>7.0000000000000001E-3</v>
      </c>
      <c r="HX102" s="145">
        <v>2.7E-2</v>
      </c>
      <c r="HY102" s="145">
        <v>2.1000000000000001E-2</v>
      </c>
      <c r="HZ102" s="145">
        <v>1.4999999999999999E-2</v>
      </c>
      <c r="IA102" s="145">
        <v>3.1E-2</v>
      </c>
      <c r="IB102" s="145">
        <v>4.4999999999999998E-2</v>
      </c>
      <c r="IC102" s="145">
        <v>3.2000000000000001E-2</v>
      </c>
      <c r="ID102" s="145">
        <v>2.5999999999999999E-2</v>
      </c>
      <c r="IE102" s="145">
        <v>2.5999999999999999E-2</v>
      </c>
      <c r="IF102" s="145">
        <v>1.9E-2</v>
      </c>
      <c r="IG102" s="145">
        <v>5.0000000000000001E-3</v>
      </c>
      <c r="IH102" s="145">
        <v>8.9999999999999993E-3</v>
      </c>
      <c r="II102" s="145">
        <v>6.4000000000000001E-2</v>
      </c>
      <c r="IJ102" s="145">
        <v>8.9999999999999993E-3</v>
      </c>
      <c r="IK102" s="145">
        <v>1.7999999999999999E-2</v>
      </c>
      <c r="IL102" s="145">
        <v>3.7999999999999999E-2</v>
      </c>
      <c r="IM102" s="145">
        <v>2.8000000000000001E-2</v>
      </c>
      <c r="IN102" s="145">
        <v>4.1000000000000002E-2</v>
      </c>
      <c r="IO102" s="145">
        <v>7.5999999999999998E-2</v>
      </c>
      <c r="IP102" s="145">
        <v>0</v>
      </c>
      <c r="IQ102" s="145">
        <v>1.0999999999999999E-2</v>
      </c>
      <c r="IR102" s="145">
        <v>2.1999999999999999E-2</v>
      </c>
      <c r="IS102" s="145">
        <v>3.2000000000000001E-2</v>
      </c>
      <c r="IT102" s="145">
        <v>2.1999999999999999E-2</v>
      </c>
      <c r="IU102" s="145">
        <v>4.4999999999999998E-2</v>
      </c>
      <c r="IV102" s="145">
        <v>0</v>
      </c>
      <c r="IW102" s="145">
        <v>0.01</v>
      </c>
      <c r="IX102" s="145">
        <v>3.1E-2</v>
      </c>
      <c r="IY102" s="145">
        <v>1.0999999999999999E-2</v>
      </c>
      <c r="IZ102" s="145">
        <v>9.5000000000000001E-2</v>
      </c>
      <c r="JA102" s="145">
        <v>3.7999999999999999E-2</v>
      </c>
      <c r="JB102" s="145">
        <v>1.2999999999999999E-2</v>
      </c>
      <c r="JC102" s="145">
        <v>2.5999999999999999E-2</v>
      </c>
      <c r="JD102" s="145">
        <v>1.2E-2</v>
      </c>
      <c r="JE102" s="145">
        <v>2.1999999999999999E-2</v>
      </c>
      <c r="JF102" s="145">
        <v>1.9E-2</v>
      </c>
      <c r="JG102" s="145">
        <v>3.7999999999999999E-2</v>
      </c>
      <c r="JH102" s="145">
        <v>0</v>
      </c>
      <c r="JI102" s="145">
        <v>1.7000000000000001E-2</v>
      </c>
      <c r="JJ102" s="145">
        <v>1.7000000000000001E-2</v>
      </c>
      <c r="JK102" s="145">
        <v>2.5999999999999999E-2</v>
      </c>
      <c r="JL102" s="145">
        <v>1.9E-2</v>
      </c>
      <c r="JM102" s="145">
        <v>0</v>
      </c>
      <c r="JN102" s="145">
        <v>3.5999999999999997E-2</v>
      </c>
      <c r="JO102" s="145">
        <v>4.4999999999999998E-2</v>
      </c>
      <c r="JP102" s="145">
        <v>2.1000000000000001E-2</v>
      </c>
      <c r="JQ102" s="145">
        <v>2.5000000000000001E-2</v>
      </c>
      <c r="JR102" s="145">
        <v>1.6E-2</v>
      </c>
      <c r="JS102" s="145">
        <v>2.3E-2</v>
      </c>
      <c r="JT102" s="145">
        <v>2.9000000000000001E-2</v>
      </c>
      <c r="JU102" s="145">
        <v>7.0000000000000001E-3</v>
      </c>
      <c r="JV102" s="145">
        <v>2.1000000000000001E-2</v>
      </c>
      <c r="JW102" s="145">
        <v>2.9000000000000001E-2</v>
      </c>
      <c r="JX102" s="145">
        <v>3.7999999999999999E-2</v>
      </c>
      <c r="JY102" s="145">
        <v>3.6999999999999998E-2</v>
      </c>
      <c r="JZ102" s="145">
        <v>0.01</v>
      </c>
      <c r="KA102" s="145">
        <v>0.05</v>
      </c>
      <c r="KB102" s="145">
        <v>2.8000000000000001E-2</v>
      </c>
      <c r="KC102" s="145">
        <v>8.0000000000000002E-3</v>
      </c>
      <c r="KD102" s="145">
        <v>2.1999999999999999E-2</v>
      </c>
      <c r="KE102" s="145">
        <v>4.2999999999999997E-2</v>
      </c>
      <c r="KF102" s="145">
        <v>0.02</v>
      </c>
      <c r="KG102" s="145">
        <v>2.5000000000000001E-2</v>
      </c>
      <c r="KH102" s="145">
        <v>1.9E-2</v>
      </c>
      <c r="KI102" s="145">
        <v>6.9000000000000006E-2</v>
      </c>
      <c r="KJ102" s="145">
        <v>4.7E-2</v>
      </c>
      <c r="KK102" s="145">
        <v>7.5999999999999998E-2</v>
      </c>
      <c r="KL102" s="145">
        <v>0.01</v>
      </c>
      <c r="KM102" s="145">
        <v>0</v>
      </c>
      <c r="KN102" s="145">
        <v>1.7999999999999999E-2</v>
      </c>
      <c r="KO102" s="145">
        <v>1.4999999999999999E-2</v>
      </c>
      <c r="KP102" s="145">
        <v>3.7999999999999999E-2</v>
      </c>
      <c r="KQ102" s="145">
        <v>2.1999999999999999E-2</v>
      </c>
      <c r="KR102" s="145">
        <v>3.9E-2</v>
      </c>
      <c r="KS102" s="145">
        <v>1.7999999999999999E-2</v>
      </c>
      <c r="KT102" s="145">
        <v>3.1E-2</v>
      </c>
      <c r="KU102" s="145">
        <v>1.2999999999999999E-2</v>
      </c>
      <c r="KV102" s="145">
        <v>4.7E-2</v>
      </c>
      <c r="KW102" s="145">
        <v>3.3000000000000002E-2</v>
      </c>
      <c r="KX102" s="145">
        <v>3.6999999999999998E-2</v>
      </c>
      <c r="KY102" s="145">
        <v>2.8000000000000001E-2</v>
      </c>
      <c r="KZ102" s="145">
        <v>3.3000000000000002E-2</v>
      </c>
      <c r="LA102" s="145">
        <v>5.0999999999999997E-2</v>
      </c>
      <c r="LB102" s="145">
        <v>1.4E-2</v>
      </c>
      <c r="LC102" s="145">
        <v>1.2999999999999999E-2</v>
      </c>
      <c r="LD102" s="145">
        <v>6.0000000000000001E-3</v>
      </c>
      <c r="LE102" s="145">
        <v>3.4000000000000002E-2</v>
      </c>
      <c r="LF102" s="145">
        <v>4.3999999999999997E-2</v>
      </c>
      <c r="LG102" s="145">
        <v>6.8000000000000005E-2</v>
      </c>
      <c r="LH102" s="145">
        <v>0.09</v>
      </c>
      <c r="LI102" s="145">
        <v>5.5E-2</v>
      </c>
      <c r="LJ102" s="145">
        <v>0.01</v>
      </c>
      <c r="LK102" s="145">
        <v>0.05</v>
      </c>
      <c r="LL102" s="145">
        <v>1.7000000000000001E-2</v>
      </c>
      <c r="LM102" s="145">
        <v>1.4999999999999999E-2</v>
      </c>
      <c r="LN102" s="145">
        <v>5.0999999999999997E-2</v>
      </c>
      <c r="LO102" s="145">
        <v>2.1000000000000001E-2</v>
      </c>
      <c r="LP102" s="145">
        <v>4.3999999999999997E-2</v>
      </c>
      <c r="LQ102" s="145">
        <v>1.2999999999999999E-2</v>
      </c>
      <c r="LR102" s="145">
        <v>3.2000000000000001E-2</v>
      </c>
      <c r="LS102" s="145">
        <v>4.7E-2</v>
      </c>
      <c r="LT102" s="145">
        <v>0.121</v>
      </c>
      <c r="LU102" s="145">
        <v>7.2999999999999995E-2</v>
      </c>
      <c r="LV102" s="145">
        <v>0.02</v>
      </c>
      <c r="LW102" s="145">
        <v>3.2000000000000001E-2</v>
      </c>
      <c r="LX102" s="145">
        <v>2.7E-2</v>
      </c>
      <c r="LY102" s="145">
        <v>1.6E-2</v>
      </c>
      <c r="LZ102" s="145">
        <v>1.4E-2</v>
      </c>
      <c r="MA102" s="145">
        <v>1.2999999999999999E-2</v>
      </c>
      <c r="MB102" s="145">
        <v>1.2999999999999999E-2</v>
      </c>
      <c r="MC102" s="145">
        <v>0.05</v>
      </c>
      <c r="MD102" s="145">
        <v>4.8000000000000001E-2</v>
      </c>
      <c r="ME102" s="145">
        <v>6.3E-2</v>
      </c>
      <c r="MF102" s="145">
        <v>8.2000000000000003E-2</v>
      </c>
      <c r="MG102" s="145">
        <v>7.8E-2</v>
      </c>
      <c r="MH102" s="145">
        <v>2.7E-2</v>
      </c>
      <c r="MI102" s="145">
        <v>1.7999999999999999E-2</v>
      </c>
      <c r="MJ102" s="145">
        <v>0</v>
      </c>
      <c r="MK102" s="145">
        <v>4.2000000000000003E-2</v>
      </c>
      <c r="ML102" s="145">
        <v>0.04</v>
      </c>
      <c r="MM102" s="145">
        <v>0.06</v>
      </c>
      <c r="MN102" s="145">
        <v>5.7000000000000002E-2</v>
      </c>
      <c r="MO102" s="145">
        <v>5.6000000000000001E-2</v>
      </c>
      <c r="MP102" s="145">
        <v>6.2E-2</v>
      </c>
      <c r="MQ102" s="145">
        <v>4.3999999999999997E-2</v>
      </c>
      <c r="MR102" s="145">
        <v>2.1999999999999999E-2</v>
      </c>
      <c r="MS102" s="145">
        <v>5.3999999999999999E-2</v>
      </c>
      <c r="MT102" s="145">
        <v>0.11</v>
      </c>
      <c r="MU102" s="145">
        <v>0.13200000000000001</v>
      </c>
      <c r="MV102" s="145">
        <v>0.10299999999999999</v>
      </c>
      <c r="MW102" s="145">
        <v>0.11899999999999999</v>
      </c>
      <c r="MX102" s="145">
        <v>0.19</v>
      </c>
      <c r="MY102" s="145">
        <v>0.21099999999999999</v>
      </c>
      <c r="MZ102" s="145">
        <v>0.28000000000000003</v>
      </c>
      <c r="NA102" s="145">
        <v>0.30199999999999999</v>
      </c>
      <c r="NB102" s="145">
        <v>0.28100000000000003</v>
      </c>
      <c r="NC102" s="145">
        <v>0.193</v>
      </c>
      <c r="ND102" s="145">
        <v>0.28399999999999997</v>
      </c>
      <c r="NE102" s="145">
        <v>0.27600000000000002</v>
      </c>
      <c r="NF102" s="145">
        <v>0.24</v>
      </c>
      <c r="NG102" s="145">
        <v>0.13500000000000001</v>
      </c>
      <c r="NH102" s="145">
        <v>0.18099999999999999</v>
      </c>
      <c r="NI102" s="145">
        <v>0.222</v>
      </c>
      <c r="NJ102" s="145">
        <v>0.17499999999999999</v>
      </c>
      <c r="NK102" s="145">
        <v>0.17499999999999999</v>
      </c>
      <c r="NL102" s="145">
        <v>0.215</v>
      </c>
      <c r="NM102" s="145">
        <v>0.24299999999999999</v>
      </c>
      <c r="NN102" s="145">
        <v>0.34599999999999997</v>
      </c>
      <c r="NO102" s="145">
        <v>0.32500000000000001</v>
      </c>
      <c r="NP102" s="145">
        <v>0.32300000000000001</v>
      </c>
      <c r="NQ102" s="145">
        <v>0.20100000000000001</v>
      </c>
      <c r="NR102" s="145">
        <v>0.127</v>
      </c>
      <c r="NS102" s="145">
        <v>0.20799999999999999</v>
      </c>
      <c r="NT102" s="145">
        <v>7.3999999999999996E-2</v>
      </c>
      <c r="NU102" s="145">
        <v>0.112</v>
      </c>
      <c r="NV102" s="145">
        <v>0.121</v>
      </c>
      <c r="NW102" s="145">
        <v>0.1</v>
      </c>
      <c r="NX102" s="145">
        <v>6.3E-2</v>
      </c>
      <c r="NY102" s="145">
        <v>0.106</v>
      </c>
      <c r="NZ102" s="145">
        <v>0.17199999999999999</v>
      </c>
      <c r="OA102" s="145">
        <v>9.2999999999999999E-2</v>
      </c>
      <c r="OB102" s="145">
        <v>0.19900000000000001</v>
      </c>
      <c r="OC102" s="145">
        <v>0.24299999999999999</v>
      </c>
      <c r="OD102" s="145">
        <v>0.151</v>
      </c>
      <c r="OE102" s="145">
        <v>0.112</v>
      </c>
      <c r="OF102" s="145">
        <v>0.10199999999999999</v>
      </c>
      <c r="OG102" s="145">
        <v>0.13200000000000001</v>
      </c>
      <c r="OH102" s="145">
        <v>7.1999999999999995E-2</v>
      </c>
      <c r="OI102" s="145">
        <v>0.156</v>
      </c>
      <c r="OJ102" s="145">
        <v>7.6999999999999999E-2</v>
      </c>
      <c r="OK102" s="145">
        <v>7.1999999999999995E-2</v>
      </c>
      <c r="OL102" s="145">
        <v>0.12</v>
      </c>
    </row>
    <row r="103" spans="1:402" x14ac:dyDescent="0.35">
      <c r="B103" s="25"/>
      <c r="C103" s="25"/>
      <c r="D103" s="25"/>
      <c r="E103" s="25"/>
      <c r="F103" s="25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48"/>
      <c r="GT103" s="49"/>
      <c r="GV103" s="25"/>
      <c r="GW103" s="25"/>
      <c r="GX103" s="25"/>
      <c r="GY103" s="25"/>
    </row>
    <row r="104" spans="1:402" customFormat="1" ht="14.5" x14ac:dyDescent="0.35">
      <c r="A104" s="28" t="s">
        <v>51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Z104" s="2"/>
      <c r="HA104" s="2"/>
      <c r="HB104" s="2"/>
      <c r="HC104" s="2"/>
      <c r="HD104" s="2"/>
      <c r="HE104" s="2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</row>
    <row r="105" spans="1:402" ht="14.5" x14ac:dyDescent="0.35">
      <c r="A105" s="3"/>
      <c r="N105" s="50" t="s">
        <v>52</v>
      </c>
    </row>
    <row r="119" spans="1:1" ht="14.5" x14ac:dyDescent="0.35">
      <c r="A119" s="28"/>
    </row>
  </sheetData>
  <mergeCells count="2">
    <mergeCell ref="B39:E39"/>
    <mergeCell ref="F39:K39"/>
  </mergeCells>
  <pageMargins left="0.25" right="0.25" top="0.5" bottom="0.75" header="0.3" footer="0.3"/>
  <pageSetup scale="46" fitToHeight="0" orientation="landscape" r:id="rId1"/>
  <rowBreaks count="2" manualBreakCount="2">
    <brk id="35" max="16383" man="1"/>
    <brk id="69" max="16383" man="1"/>
  </rowBreaks>
  <ignoredErrors>
    <ignoredError sqref="GS7:GS11 GS24 GS41:GS45 GS58:GS62 GS75:GS79 GS92:GS96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FC8B-8262-4DAF-B052-3303A2AEEBDD}">
  <dimension ref="A1:M65"/>
  <sheetViews>
    <sheetView view="pageBreakPreview" zoomScaleNormal="100" zoomScaleSheetLayoutView="100" workbookViewId="0">
      <selection activeCell="I43" sqref="I4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184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1126</v>
      </c>
      <c r="D5" s="89">
        <v>523.35</v>
      </c>
      <c r="E5" s="90">
        <v>92</v>
      </c>
      <c r="F5" s="91" t="s">
        <v>60</v>
      </c>
      <c r="G5" s="92">
        <f>1373016/1424687</f>
        <v>0.96373168281875243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112</v>
      </c>
      <c r="D7" s="167">
        <v>466.3</v>
      </c>
      <c r="E7" s="97">
        <v>107</v>
      </c>
      <c r="F7" s="91" t="s">
        <v>61</v>
      </c>
      <c r="G7" s="92">
        <f>C11/C5</f>
        <v>0.23712255772646537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208</v>
      </c>
      <c r="D9" s="169">
        <v>474.5</v>
      </c>
      <c r="E9" s="107">
        <v>73</v>
      </c>
      <c r="F9" s="91" t="s">
        <v>62</v>
      </c>
      <c r="G9" s="92">
        <f>C13/C5</f>
        <v>3.8188277087033748E-2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267</v>
      </c>
      <c r="D11" s="169">
        <v>441.57</v>
      </c>
      <c r="E11" s="107">
        <v>61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43</v>
      </c>
      <c r="D13" s="170">
        <v>447</v>
      </c>
      <c r="E13" s="111">
        <v>103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419</v>
      </c>
      <c r="D15" s="89">
        <v>385.35</v>
      </c>
      <c r="E15" s="90">
        <v>84</v>
      </c>
      <c r="F15" s="91" t="s">
        <v>60</v>
      </c>
      <c r="G15" s="92">
        <f>755544/778197</f>
        <v>0.97089040435776541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52</v>
      </c>
      <c r="D17" s="96">
        <v>377.97</v>
      </c>
      <c r="E17" s="97">
        <v>103</v>
      </c>
      <c r="F17" s="91" t="s">
        <v>61</v>
      </c>
      <c r="G17" s="92">
        <f>C21/C15</f>
        <v>0.31503579952267302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107</v>
      </c>
      <c r="D19" s="106">
        <v>354.31</v>
      </c>
      <c r="E19" s="107">
        <v>65</v>
      </c>
      <c r="F19" s="91" t="s">
        <v>62</v>
      </c>
      <c r="G19" s="92">
        <f>C23/C15</f>
        <v>5.0119331742243436E-2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132</v>
      </c>
      <c r="D21" s="106">
        <v>368.66</v>
      </c>
      <c r="E21" s="107">
        <v>55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21</v>
      </c>
      <c r="D23" s="110">
        <v>400.41</v>
      </c>
      <c r="E23" s="111">
        <v>111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263</v>
      </c>
      <c r="D25" s="96">
        <v>447.71</v>
      </c>
      <c r="E25" s="90">
        <v>71</v>
      </c>
      <c r="F25" s="91" t="s">
        <v>60</v>
      </c>
      <c r="G25" s="92">
        <f>1185860/1251521</f>
        <v>0.94753503936410177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16</v>
      </c>
      <c r="D27" s="106">
        <v>676.63</v>
      </c>
      <c r="E27" s="97">
        <v>121</v>
      </c>
      <c r="F27" s="91" t="s">
        <v>61</v>
      </c>
      <c r="G27" s="92">
        <f>C31/C25</f>
        <v>0.21292775665399238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28</v>
      </c>
      <c r="D29" s="96">
        <v>421.04</v>
      </c>
      <c r="E29" s="107">
        <v>52</v>
      </c>
      <c r="F29" s="91" t="s">
        <v>62</v>
      </c>
      <c r="G29" s="92">
        <f>C33/C25</f>
        <v>4.1825095057034217E-2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56</v>
      </c>
      <c r="D31" s="106">
        <v>412.2</v>
      </c>
      <c r="E31" s="107">
        <v>76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11</v>
      </c>
      <c r="D33" s="110">
        <v>392.6</v>
      </c>
      <c r="E33" s="111">
        <v>80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133</v>
      </c>
      <c r="D35" s="96">
        <v>512.75</v>
      </c>
      <c r="E35" s="90">
        <v>73</v>
      </c>
      <c r="F35" s="91" t="s">
        <v>60</v>
      </c>
      <c r="G35" s="92">
        <f>1684013/1734943</f>
        <v>0.97064456872646532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17</v>
      </c>
      <c r="D37" s="106">
        <v>443.48</v>
      </c>
      <c r="E37" s="97">
        <v>91</v>
      </c>
      <c r="F37" s="91" t="s">
        <v>61</v>
      </c>
      <c r="G37" s="92">
        <f>C41/C35</f>
        <v>0.2781954887218045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21</v>
      </c>
      <c r="D39" s="96">
        <v>539.13</v>
      </c>
      <c r="E39" s="107">
        <v>34</v>
      </c>
      <c r="F39" s="91" t="s">
        <v>62</v>
      </c>
      <c r="G39" s="92">
        <f>C43/C35</f>
        <v>3.007518796992481E-2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37</v>
      </c>
      <c r="D41" s="106">
        <v>488</v>
      </c>
      <c r="E41" s="107">
        <v>63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487.54</v>
      </c>
      <c r="E43" s="111">
        <v>51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129</v>
      </c>
      <c r="D45" s="89">
        <v>596.49</v>
      </c>
      <c r="E45" s="123">
        <v>104</v>
      </c>
      <c r="F45" s="91" t="s">
        <v>60</v>
      </c>
      <c r="G45" s="92">
        <f>2374433/2514200</f>
        <v>0.94440895712353834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15</v>
      </c>
      <c r="D47" s="96">
        <v>670.96</v>
      </c>
      <c r="E47" s="133">
        <v>84</v>
      </c>
      <c r="F47" s="91" t="s">
        <v>61</v>
      </c>
      <c r="G47" s="92">
        <f>C51/C45</f>
        <v>0.11627906976744186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25</v>
      </c>
      <c r="D49" s="106">
        <v>642.83000000000004</v>
      </c>
      <c r="E49" s="107">
        <v>99</v>
      </c>
      <c r="F49" s="91" t="s">
        <v>62</v>
      </c>
      <c r="G49" s="92">
        <f>C53/C45</f>
        <v>2.3255813953488372E-2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15</v>
      </c>
      <c r="D51" s="106">
        <v>545.79</v>
      </c>
      <c r="E51" s="107">
        <v>44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3</v>
      </c>
      <c r="D53" s="110">
        <v>627.47</v>
      </c>
      <c r="E53" s="111">
        <v>191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182</v>
      </c>
      <c r="D55" s="89">
        <v>881.81</v>
      </c>
      <c r="E55" s="123">
        <v>144</v>
      </c>
      <c r="F55" s="91" t="s">
        <v>60</v>
      </c>
      <c r="G55" s="164">
        <f>4380104/4508650</f>
        <v>0.97148902664877512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10</v>
      </c>
      <c r="D57" s="96">
        <v>725.04</v>
      </c>
      <c r="E57" s="133">
        <v>176</v>
      </c>
      <c r="F57" s="91" t="s">
        <v>61</v>
      </c>
      <c r="G57" s="92">
        <f>C61/C55</f>
        <v>0.12087912087912088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25</v>
      </c>
      <c r="D59" s="157">
        <v>825.28</v>
      </c>
      <c r="E59" s="133">
        <v>139</v>
      </c>
      <c r="F59" s="91" t="s">
        <v>62</v>
      </c>
      <c r="G59" s="92">
        <f>C63/C55</f>
        <v>2.197802197802198E-2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22</v>
      </c>
      <c r="D61" s="157">
        <v>810.04</v>
      </c>
      <c r="E61" s="142">
        <v>67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665.34</v>
      </c>
      <c r="E63" s="163">
        <v>106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185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4537C-B482-4AED-946A-FD6FF9EC4579}">
  <dimension ref="A1:M65"/>
  <sheetViews>
    <sheetView view="pageBreakPreview" zoomScaleNormal="100" zoomScaleSheetLayoutView="100" workbookViewId="0">
      <selection activeCell="I31" sqref="I3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182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1203</v>
      </c>
      <c r="D5" s="89">
        <v>517.88</v>
      </c>
      <c r="E5" s="90">
        <v>82</v>
      </c>
      <c r="F5" s="91" t="s">
        <v>60</v>
      </c>
      <c r="G5" s="92">
        <f>1318261/1382765</f>
        <v>0.95335143715671133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128</v>
      </c>
      <c r="D7" s="167">
        <v>471.18</v>
      </c>
      <c r="E7" s="97">
        <v>88</v>
      </c>
      <c r="F7" s="91" t="s">
        <v>61</v>
      </c>
      <c r="G7" s="92">
        <f>C11/C5</f>
        <v>0.23025768911055694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237</v>
      </c>
      <c r="D9" s="169">
        <v>481.07</v>
      </c>
      <c r="E9" s="107">
        <v>63</v>
      </c>
      <c r="F9" s="91" t="s">
        <v>62</v>
      </c>
      <c r="G9" s="92">
        <f>C13/C5</f>
        <v>2.8262676641729011E-2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277</v>
      </c>
      <c r="D11" s="169">
        <v>440.15</v>
      </c>
      <c r="E11" s="107">
        <v>60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34</v>
      </c>
      <c r="D13" s="170">
        <v>448.22</v>
      </c>
      <c r="E13" s="111">
        <v>110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469</v>
      </c>
      <c r="D15" s="89">
        <v>389.6</v>
      </c>
      <c r="E15" s="90">
        <v>73</v>
      </c>
      <c r="F15" s="91" t="s">
        <v>60</v>
      </c>
      <c r="G15" s="92">
        <f>731162/758814</f>
        <v>0.96355892221282158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57</v>
      </c>
      <c r="D17" s="96">
        <v>395.23</v>
      </c>
      <c r="E17" s="97">
        <v>82</v>
      </c>
      <c r="F17" s="91" t="s">
        <v>61</v>
      </c>
      <c r="G17" s="92">
        <f>C21/C15</f>
        <v>0.2857142857142857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115</v>
      </c>
      <c r="D19" s="106">
        <v>355.29</v>
      </c>
      <c r="E19" s="107">
        <v>55</v>
      </c>
      <c r="F19" s="91" t="s">
        <v>62</v>
      </c>
      <c r="G19" s="92">
        <f>C23/C15</f>
        <v>3.6247334754797439E-2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134</v>
      </c>
      <c r="D21" s="106">
        <v>379.21</v>
      </c>
      <c r="E21" s="107">
        <v>56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17</v>
      </c>
      <c r="D23" s="110">
        <v>388.95</v>
      </c>
      <c r="E23" s="111">
        <v>102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272</v>
      </c>
      <c r="D25" s="96">
        <v>461.2</v>
      </c>
      <c r="E25" s="90">
        <v>64</v>
      </c>
      <c r="F25" s="91" t="s">
        <v>60</v>
      </c>
      <c r="G25" s="92">
        <f>1168247/1224623</f>
        <v>0.95396460788340576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27</v>
      </c>
      <c r="D27" s="106">
        <v>430.21</v>
      </c>
      <c r="E27" s="97">
        <v>95</v>
      </c>
      <c r="F27" s="91" t="s">
        <v>61</v>
      </c>
      <c r="G27" s="92">
        <f>C31/C25</f>
        <v>0.26838235294117646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38</v>
      </c>
      <c r="D29" s="96">
        <v>427.87</v>
      </c>
      <c r="E29" s="107">
        <v>58</v>
      </c>
      <c r="F29" s="91" t="s">
        <v>62</v>
      </c>
      <c r="G29" s="92">
        <f>C33/C25</f>
        <v>2.2058823529411766E-2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73</v>
      </c>
      <c r="D31" s="106">
        <v>429.07</v>
      </c>
      <c r="E31" s="107">
        <v>51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6</v>
      </c>
      <c r="D33" s="110">
        <v>427.71</v>
      </c>
      <c r="E33" s="111">
        <v>48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137</v>
      </c>
      <c r="D35" s="96">
        <v>509.04</v>
      </c>
      <c r="E35" s="90">
        <v>67</v>
      </c>
      <c r="F35" s="91" t="s">
        <v>60</v>
      </c>
      <c r="G35" s="92">
        <f>1624953/1707448</f>
        <v>0.951685205054561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18</v>
      </c>
      <c r="D37" s="106">
        <v>459.36</v>
      </c>
      <c r="E37" s="97">
        <v>61</v>
      </c>
      <c r="F37" s="91" t="s">
        <v>61</v>
      </c>
      <c r="G37" s="92">
        <f>C41/C35</f>
        <v>0.21167883211678831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33</v>
      </c>
      <c r="D39" s="96">
        <v>522.66</v>
      </c>
      <c r="E39" s="107">
        <v>42</v>
      </c>
      <c r="F39" s="91" t="s">
        <v>62</v>
      </c>
      <c r="G39" s="92">
        <f>C43/C35</f>
        <v>4.3795620437956206E-2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29</v>
      </c>
      <c r="D41" s="106">
        <v>455.18</v>
      </c>
      <c r="E41" s="107">
        <v>70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6</v>
      </c>
      <c r="D43" s="110">
        <v>442.16</v>
      </c>
      <c r="E43" s="111">
        <v>98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144</v>
      </c>
      <c r="D45" s="89">
        <v>601</v>
      </c>
      <c r="E45" s="123">
        <v>92</v>
      </c>
      <c r="F45" s="91" t="s">
        <v>60</v>
      </c>
      <c r="G45" s="92">
        <f>2285840/2416568</f>
        <v>0.9459034465407139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14</v>
      </c>
      <c r="D47" s="96">
        <v>600.25</v>
      </c>
      <c r="E47" s="133">
        <v>85</v>
      </c>
      <c r="F47" s="91" t="s">
        <v>61</v>
      </c>
      <c r="G47" s="92">
        <f>C51/C45</f>
        <v>0.1388888888888889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18</v>
      </c>
      <c r="D49" s="106">
        <v>652.80999999999995</v>
      </c>
      <c r="E49" s="107">
        <v>82</v>
      </c>
      <c r="F49" s="91" t="s">
        <v>62</v>
      </c>
      <c r="G49" s="92">
        <f>C53/C45</f>
        <v>1.3888888888888888E-2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20</v>
      </c>
      <c r="D51" s="106">
        <v>580.14</v>
      </c>
      <c r="E51" s="107">
        <v>82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666.55</v>
      </c>
      <c r="E53" s="111">
        <v>209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187</v>
      </c>
      <c r="D55" s="89">
        <v>868.71</v>
      </c>
      <c r="E55" s="123">
        <v>133</v>
      </c>
      <c r="F55" s="91" t="s">
        <v>60</v>
      </c>
      <c r="G55" s="164">
        <f>4240952/4480952</f>
        <v>0.94643995293857197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13</v>
      </c>
      <c r="D57" s="96">
        <v>756.23</v>
      </c>
      <c r="E57" s="133">
        <v>148</v>
      </c>
      <c r="F57" s="91" t="s">
        <v>61</v>
      </c>
      <c r="G57" s="92">
        <f>C61/C55</f>
        <v>0.11229946524064172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30</v>
      </c>
      <c r="D59" s="157">
        <v>845.32</v>
      </c>
      <c r="E59" s="133">
        <v>112</v>
      </c>
      <c r="F59" s="91" t="s">
        <v>62</v>
      </c>
      <c r="G59" s="92">
        <f>C63/C55</f>
        <v>1.6042780748663103E-2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21</v>
      </c>
      <c r="D61" s="157">
        <v>713.42</v>
      </c>
      <c r="E61" s="142">
        <v>87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691.65</v>
      </c>
      <c r="E63" s="163">
        <v>239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183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E61F9-C4A2-4036-B307-954581A77C1F}">
  <dimension ref="A1:M65"/>
  <sheetViews>
    <sheetView view="pageBreakPreview" zoomScaleNormal="100" zoomScaleSheetLayoutView="100" workbookViewId="0">
      <selection activeCell="O21" sqref="O21:O22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181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1152</v>
      </c>
      <c r="D5" s="89">
        <v>519.80999999999995</v>
      </c>
      <c r="E5" s="90">
        <v>74</v>
      </c>
      <c r="F5" s="91" t="s">
        <v>60</v>
      </c>
      <c r="G5" s="92">
        <f>1206905/1245827</f>
        <v>0.9687581020478766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145</v>
      </c>
      <c r="D7" s="167">
        <v>481.23</v>
      </c>
      <c r="E7" s="97">
        <v>74</v>
      </c>
      <c r="F7" s="91" t="s">
        <v>61</v>
      </c>
      <c r="G7" s="92">
        <f>C11/C5</f>
        <v>0.25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248</v>
      </c>
      <c r="D9" s="169">
        <v>478.46</v>
      </c>
      <c r="E9" s="107">
        <v>62</v>
      </c>
      <c r="F9" s="91" t="s">
        <v>62</v>
      </c>
      <c r="G9" s="92">
        <f>C13/C5</f>
        <v>3.3854166666666664E-2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288</v>
      </c>
      <c r="D11" s="169">
        <v>435.15</v>
      </c>
      <c r="E11" s="107">
        <v>51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39</v>
      </c>
      <c r="D13" s="170">
        <v>479.03</v>
      </c>
      <c r="E13" s="111">
        <v>88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448</v>
      </c>
      <c r="D15" s="89">
        <v>396.7</v>
      </c>
      <c r="E15" s="90">
        <v>66</v>
      </c>
      <c r="F15" s="91" t="s">
        <v>60</v>
      </c>
      <c r="G15" s="92">
        <f>753247/775341</f>
        <v>0.97150415107675203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68</v>
      </c>
      <c r="D17" s="96">
        <v>398.33</v>
      </c>
      <c r="E17" s="97">
        <v>73</v>
      </c>
      <c r="F17" s="91" t="s">
        <v>61</v>
      </c>
      <c r="G17" s="92">
        <f>C21/C15</f>
        <v>0.3392857142857143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114</v>
      </c>
      <c r="D19" s="106">
        <v>360.76</v>
      </c>
      <c r="E19" s="107">
        <v>55</v>
      </c>
      <c r="F19" s="91" t="s">
        <v>62</v>
      </c>
      <c r="G19" s="92">
        <f>C23/C15</f>
        <v>4.2410714285714288E-2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152</v>
      </c>
      <c r="D21" s="106">
        <v>382.06</v>
      </c>
      <c r="E21" s="107">
        <v>47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19</v>
      </c>
      <c r="D23" s="110">
        <v>411.55</v>
      </c>
      <c r="E23" s="111">
        <v>68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272</v>
      </c>
      <c r="D25" s="96">
        <v>467.03</v>
      </c>
      <c r="E25" s="90">
        <v>56</v>
      </c>
      <c r="F25" s="91" t="s">
        <v>60</v>
      </c>
      <c r="G25" s="92">
        <f>1197399/1247269</f>
        <v>0.96001664436460776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32</v>
      </c>
      <c r="D27" s="106">
        <v>435.71</v>
      </c>
      <c r="E27" s="97">
        <v>72</v>
      </c>
      <c r="F27" s="91" t="s">
        <v>61</v>
      </c>
      <c r="G27" s="92">
        <f>C31/C25</f>
        <v>0.25367647058823528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54</v>
      </c>
      <c r="D29" s="96">
        <v>448.15</v>
      </c>
      <c r="E29" s="107">
        <v>45</v>
      </c>
      <c r="F29" s="91" t="s">
        <v>62</v>
      </c>
      <c r="G29" s="92">
        <f>C33/C25</f>
        <v>3.6764705882352942E-2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69</v>
      </c>
      <c r="D31" s="106">
        <v>435.42</v>
      </c>
      <c r="E31" s="107">
        <v>57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10</v>
      </c>
      <c r="D33" s="110">
        <v>441.47</v>
      </c>
      <c r="E33" s="111">
        <v>68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140</v>
      </c>
      <c r="D35" s="96">
        <v>497.78</v>
      </c>
      <c r="E35" s="90">
        <v>62</v>
      </c>
      <c r="F35" s="91" t="s">
        <v>60</v>
      </c>
      <c r="G35" s="92">
        <f>1704360/1744564</f>
        <v>0.97695470042944832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18</v>
      </c>
      <c r="D37" s="106">
        <v>465.4</v>
      </c>
      <c r="E37" s="97">
        <v>41</v>
      </c>
      <c r="F37" s="91" t="s">
        <v>61</v>
      </c>
      <c r="G37" s="92">
        <f>C41/C35</f>
        <v>0.24285714285714285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28</v>
      </c>
      <c r="D39" s="96">
        <v>517.95000000000005</v>
      </c>
      <c r="E39" s="107">
        <v>40</v>
      </c>
      <c r="F39" s="91" t="s">
        <v>62</v>
      </c>
      <c r="G39" s="92">
        <f>C43/C35</f>
        <v>2.8571428571428571E-2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34</v>
      </c>
      <c r="D41" s="106">
        <v>496.7</v>
      </c>
      <c r="E41" s="107">
        <v>58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480.11</v>
      </c>
      <c r="E43" s="111">
        <v>70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130</v>
      </c>
      <c r="D45" s="89">
        <v>604.42999999999995</v>
      </c>
      <c r="E45" s="123">
        <v>84</v>
      </c>
      <c r="F45" s="91" t="s">
        <v>60</v>
      </c>
      <c r="G45" s="92">
        <f>2207649/2284952</f>
        <v>0.96616865474635794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12</v>
      </c>
      <c r="D47" s="96">
        <v>637.19000000000005</v>
      </c>
      <c r="E47" s="133">
        <v>65</v>
      </c>
      <c r="F47" s="91" t="s">
        <v>61</v>
      </c>
      <c r="G47" s="92">
        <f>C51/C45</f>
        <v>0.16153846153846155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24</v>
      </c>
      <c r="D49" s="106">
        <v>648.53</v>
      </c>
      <c r="E49" s="107">
        <v>90</v>
      </c>
      <c r="F49" s="91" t="s">
        <v>62</v>
      </c>
      <c r="G49" s="92">
        <f>C53/C45</f>
        <v>1.5384615384615385E-2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21</v>
      </c>
      <c r="D51" s="106">
        <v>556.04</v>
      </c>
      <c r="E51" s="107">
        <v>59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591.28</v>
      </c>
      <c r="E53" s="111">
        <v>94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162</v>
      </c>
      <c r="D55" s="89">
        <v>900</v>
      </c>
      <c r="E55" s="123">
        <v>132</v>
      </c>
      <c r="F55" s="91" t="s">
        <v>60</v>
      </c>
      <c r="G55" s="164">
        <f>3847134/3965459</f>
        <v>0.97016108349626107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17</v>
      </c>
      <c r="D57" s="96">
        <v>795.44</v>
      </c>
      <c r="E57" s="133">
        <v>122</v>
      </c>
      <c r="F57" s="91" t="s">
        <v>61</v>
      </c>
      <c r="G57" s="92">
        <f>C61/C55</f>
        <v>7.407407407407407E-2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28</v>
      </c>
      <c r="D59" s="157">
        <v>830.88</v>
      </c>
      <c r="E59" s="133">
        <v>124</v>
      </c>
      <c r="F59" s="91" t="s">
        <v>62</v>
      </c>
      <c r="G59" s="92">
        <f>C63/C55</f>
        <v>2.4691358024691357E-2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12</v>
      </c>
      <c r="D61" s="157">
        <v>720.16</v>
      </c>
      <c r="E61" s="142">
        <v>45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836.3</v>
      </c>
      <c r="E63" s="163">
        <v>248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180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ECC0A-07AF-480A-9730-C619C7F2126A}">
  <dimension ref="A1:M65"/>
  <sheetViews>
    <sheetView view="pageBreakPreview" topLeftCell="A22" zoomScaleNormal="100" zoomScaleSheetLayoutView="100" workbookViewId="0">
      <selection activeCell="E35" sqref="E3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178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1054</v>
      </c>
      <c r="D5" s="89">
        <v>513.94000000000005</v>
      </c>
      <c r="E5" s="90">
        <v>68</v>
      </c>
      <c r="F5" s="91" t="s">
        <v>60</v>
      </c>
      <c r="G5" s="92">
        <f>1407369/1483914</f>
        <v>0.94841682199911859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151</v>
      </c>
      <c r="D7" s="167">
        <v>463.65</v>
      </c>
      <c r="E7" s="97">
        <v>73</v>
      </c>
      <c r="F7" s="91" t="s">
        <v>61</v>
      </c>
      <c r="G7" s="92">
        <f>C11/C5</f>
        <v>0.30550284629981023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245</v>
      </c>
      <c r="D9" s="169">
        <v>480.03</v>
      </c>
      <c r="E9" s="107">
        <v>61</v>
      </c>
      <c r="F9" s="91" t="s">
        <v>62</v>
      </c>
      <c r="G9" s="92">
        <f>C13/C5</f>
        <v>4.8387096774193547E-2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322</v>
      </c>
      <c r="D11" s="169">
        <v>442.07</v>
      </c>
      <c r="E11" s="107">
        <v>52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51</v>
      </c>
      <c r="D13" s="170">
        <v>596.46</v>
      </c>
      <c r="E13" s="111">
        <v>64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426</v>
      </c>
      <c r="D15" s="89">
        <v>399.22</v>
      </c>
      <c r="E15" s="90">
        <v>57</v>
      </c>
      <c r="F15" s="91" t="s">
        <v>60</v>
      </c>
      <c r="G15" s="92">
        <f>758975/782842</f>
        <v>0.96951236648008154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69</v>
      </c>
      <c r="D17" s="96">
        <v>394.99</v>
      </c>
      <c r="E17" s="97">
        <v>69</v>
      </c>
      <c r="F17" s="91" t="s">
        <v>61</v>
      </c>
      <c r="G17" s="92">
        <f>C21/C15</f>
        <v>0.39436619718309857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12</v>
      </c>
      <c r="D19" s="106">
        <v>362.7</v>
      </c>
      <c r="E19" s="107">
        <v>53</v>
      </c>
      <c r="F19" s="91" t="s">
        <v>62</v>
      </c>
      <c r="G19" s="92">
        <f>C23/C15</f>
        <v>4.4600938967136149E-2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168</v>
      </c>
      <c r="D21" s="106">
        <v>387.32</v>
      </c>
      <c r="E21" s="107">
        <v>42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19</v>
      </c>
      <c r="D23" s="110">
        <v>370.84</v>
      </c>
      <c r="E23" s="111">
        <v>79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234</v>
      </c>
      <c r="D25" s="96">
        <v>443.89</v>
      </c>
      <c r="E25" s="90">
        <v>51</v>
      </c>
      <c r="F25" s="91" t="s">
        <v>60</v>
      </c>
      <c r="G25" s="92">
        <f>1200994/1265577</f>
        <v>0.94896952141197255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41</v>
      </c>
      <c r="D27" s="106">
        <v>440.75</v>
      </c>
      <c r="E27" s="97">
        <v>63</v>
      </c>
      <c r="F27" s="91" t="s">
        <v>61</v>
      </c>
      <c r="G27" s="92">
        <f>C31/C25</f>
        <v>0.2264957264957265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39</v>
      </c>
      <c r="D29" s="96">
        <v>456.12</v>
      </c>
      <c r="E29" s="107">
        <v>46</v>
      </c>
      <c r="F29" s="91" t="s">
        <v>62</v>
      </c>
      <c r="G29" s="92">
        <f>C33/C25</f>
        <v>7.2649572649572655E-2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53</v>
      </c>
      <c r="D31" s="106">
        <v>408.18</v>
      </c>
      <c r="E31" s="107">
        <v>49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17</v>
      </c>
      <c r="D33" s="110">
        <v>685.91</v>
      </c>
      <c r="E33" s="111">
        <v>65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134</v>
      </c>
      <c r="D35" s="89">
        <v>504.68</v>
      </c>
      <c r="E35" s="123">
        <v>53</v>
      </c>
      <c r="F35" s="91" t="s">
        <v>60</v>
      </c>
      <c r="G35" s="92">
        <f>1697680/1757410</f>
        <v>0.96601248428084507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17</v>
      </c>
      <c r="D37" s="96">
        <v>506.9</v>
      </c>
      <c r="E37" s="133">
        <v>57</v>
      </c>
      <c r="F37" s="91" t="s">
        <v>61</v>
      </c>
      <c r="G37" s="92">
        <f>C41/C35</f>
        <v>0.33582089552238809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30</v>
      </c>
      <c r="D39" s="106">
        <v>510.37</v>
      </c>
      <c r="E39" s="107">
        <v>39</v>
      </c>
      <c r="F39" s="91" t="s">
        <v>62</v>
      </c>
      <c r="G39" s="92">
        <f>C43/C35</f>
        <v>3.7313432835820892E-2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45</v>
      </c>
      <c r="D41" s="106">
        <v>471.65</v>
      </c>
      <c r="E41" s="107">
        <v>59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568.44000000000005</v>
      </c>
      <c r="E43" s="140">
        <v>43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106</v>
      </c>
      <c r="D45" s="89">
        <v>616.28</v>
      </c>
      <c r="E45" s="123">
        <v>77</v>
      </c>
      <c r="F45" s="91" t="s">
        <v>60</v>
      </c>
      <c r="G45" s="92">
        <f>2255612/2367246</f>
        <v>0.95284224791170835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13</v>
      </c>
      <c r="D47" s="96">
        <v>582.13</v>
      </c>
      <c r="E47" s="133">
        <v>67</v>
      </c>
      <c r="F47" s="91" t="s">
        <v>61</v>
      </c>
      <c r="G47" s="92">
        <f>C51/C45</f>
        <v>0.22641509433962265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22</v>
      </c>
      <c r="D49" s="106">
        <v>636.30999999999995</v>
      </c>
      <c r="E49" s="107">
        <v>101</v>
      </c>
      <c r="F49" s="91" t="s">
        <v>62</v>
      </c>
      <c r="G49" s="92">
        <f>C53/C45</f>
        <v>4.716981132075472E-2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24</v>
      </c>
      <c r="D51" s="106">
        <v>514.91999999999996</v>
      </c>
      <c r="E51" s="107">
        <v>65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616.25</v>
      </c>
      <c r="E53" s="111">
        <v>43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154</v>
      </c>
      <c r="D55" s="89">
        <v>875.07</v>
      </c>
      <c r="E55" s="123">
        <v>129</v>
      </c>
      <c r="F55" s="91" t="s">
        <v>60</v>
      </c>
      <c r="G55" s="164">
        <f>4108810/4479057</f>
        <v>0.91733818078224949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11</v>
      </c>
      <c r="D57" s="96">
        <v>772.77</v>
      </c>
      <c r="E57" s="133">
        <v>165</v>
      </c>
      <c r="F57" s="91" t="s">
        <v>61</v>
      </c>
      <c r="G57" s="92">
        <f>C61/C55</f>
        <v>0.20779220779220781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31</v>
      </c>
      <c r="D59" s="157">
        <v>835.33</v>
      </c>
      <c r="E59" s="133">
        <v>104</v>
      </c>
      <c r="F59" s="91" t="s">
        <v>62</v>
      </c>
      <c r="G59" s="92">
        <f>C63/C55</f>
        <v>3.2467532467532464E-2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32</v>
      </c>
      <c r="D61" s="157">
        <v>689.42</v>
      </c>
      <c r="E61" s="142">
        <v>97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5</v>
      </c>
      <c r="D63" s="110">
        <v>1157.8800000000001</v>
      </c>
      <c r="E63" s="163">
        <v>42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179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6F237-35A7-4F65-8AAF-7D0A97878517}">
  <dimension ref="A1:M65"/>
  <sheetViews>
    <sheetView view="pageBreakPreview" topLeftCell="A4" zoomScaleNormal="100" zoomScaleSheetLayoutView="100" workbookViewId="0">
      <selection activeCell="N31" sqref="N3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176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1091</v>
      </c>
      <c r="D5" s="89">
        <v>523.79999999999995</v>
      </c>
      <c r="E5" s="90">
        <v>56</v>
      </c>
      <c r="F5" s="91" t="s">
        <v>60</v>
      </c>
      <c r="G5" s="92">
        <f>1390997/1426623</f>
        <v>0.97502774033504291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149</v>
      </c>
      <c r="D7" s="167">
        <v>472.28</v>
      </c>
      <c r="E7" s="97">
        <v>78</v>
      </c>
      <c r="F7" s="91" t="s">
        <v>61</v>
      </c>
      <c r="G7" s="92">
        <f>C11/C5</f>
        <v>0.24839596700274977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252</v>
      </c>
      <c r="D9" s="169">
        <v>490.49</v>
      </c>
      <c r="E9" s="107">
        <v>60</v>
      </c>
      <c r="F9" s="91" t="s">
        <v>62</v>
      </c>
      <c r="G9" s="92">
        <f>C13/C5</f>
        <v>2.8414298808432631E-2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271</v>
      </c>
      <c r="D11" s="169">
        <v>467.53</v>
      </c>
      <c r="E11" s="107">
        <v>37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31</v>
      </c>
      <c r="D13" s="170">
        <v>478.08</v>
      </c>
      <c r="E13" s="111">
        <v>60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450</v>
      </c>
      <c r="D15" s="89">
        <v>407.69</v>
      </c>
      <c r="E15" s="90">
        <v>44</v>
      </c>
      <c r="F15" s="91" t="s">
        <v>60</v>
      </c>
      <c r="G15" s="92">
        <f>756388/764388</f>
        <v>0.98953411094888988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67</v>
      </c>
      <c r="D17" s="96">
        <v>396.48</v>
      </c>
      <c r="E17" s="97">
        <v>58</v>
      </c>
      <c r="F17" s="91" t="s">
        <v>61</v>
      </c>
      <c r="G17" s="92">
        <f>C21/C15</f>
        <v>0.27333333333333332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122</v>
      </c>
      <c r="D19" s="106">
        <v>379.06</v>
      </c>
      <c r="E19" s="107">
        <v>49</v>
      </c>
      <c r="F19" s="91" t="s">
        <v>62</v>
      </c>
      <c r="G19" s="92">
        <f>C23/C15</f>
        <v>1.3333333333333334E-2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123</v>
      </c>
      <c r="D21" s="106">
        <v>411.08</v>
      </c>
      <c r="E21" s="107">
        <v>30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6</v>
      </c>
      <c r="D23" s="110">
        <v>419.61</v>
      </c>
      <c r="E23" s="111">
        <v>49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245</v>
      </c>
      <c r="D25" s="96">
        <v>463.62</v>
      </c>
      <c r="E25" s="90">
        <v>39</v>
      </c>
      <c r="F25" s="91" t="s">
        <v>60</v>
      </c>
      <c r="G25" s="92">
        <f>1202380/1234798</f>
        <v>0.97374631316215288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26</v>
      </c>
      <c r="D27" s="106">
        <v>420.13</v>
      </c>
      <c r="E27" s="97">
        <v>79</v>
      </c>
      <c r="F27" s="91" t="s">
        <v>61</v>
      </c>
      <c r="G27" s="92">
        <f>C31/C25</f>
        <v>0.28979591836734692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35</v>
      </c>
      <c r="D29" s="96">
        <v>431.11</v>
      </c>
      <c r="E29" s="107">
        <v>43</v>
      </c>
      <c r="F29" s="91" t="s">
        <v>62</v>
      </c>
      <c r="G29" s="92">
        <f>C33/C25</f>
        <v>2.8571428571428571E-2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71</v>
      </c>
      <c r="D31" s="106">
        <v>440.21</v>
      </c>
      <c r="E31" s="107">
        <v>37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7</v>
      </c>
      <c r="D33" s="110">
        <v>414.22</v>
      </c>
      <c r="E33" s="111">
        <v>63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130</v>
      </c>
      <c r="D35" s="89">
        <v>520.69000000000005</v>
      </c>
      <c r="E35" s="123">
        <v>48</v>
      </c>
      <c r="F35" s="91" t="s">
        <v>60</v>
      </c>
      <c r="G35" s="92">
        <f>1692709/1744719</f>
        <v>0.97019004206408022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16</v>
      </c>
      <c r="D37" s="96">
        <v>472.59</v>
      </c>
      <c r="E37" s="133">
        <v>73</v>
      </c>
      <c r="F37" s="91" t="s">
        <v>61</v>
      </c>
      <c r="G37" s="92">
        <f>C41/C35</f>
        <v>0.24615384615384617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34</v>
      </c>
      <c r="D39" s="106">
        <v>499.77</v>
      </c>
      <c r="E39" s="107">
        <v>43</v>
      </c>
      <c r="F39" s="91" t="s">
        <v>62</v>
      </c>
      <c r="G39" s="92">
        <f>C43/C35</f>
        <v>4.6153846153846156E-2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32</v>
      </c>
      <c r="D41" s="106">
        <v>491.46</v>
      </c>
      <c r="E41" s="107">
        <v>37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6</v>
      </c>
      <c r="D43" s="110">
        <v>468.1</v>
      </c>
      <c r="E43" s="140">
        <v>62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109</v>
      </c>
      <c r="D45" s="89">
        <v>602.41999999999996</v>
      </c>
      <c r="E45" s="123">
        <v>67</v>
      </c>
      <c r="F45" s="91" t="s">
        <v>60</v>
      </c>
      <c r="G45" s="92">
        <f>2468546/2505186</f>
        <v>0.98537433947020303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18</v>
      </c>
      <c r="D47" s="96">
        <v>556.35</v>
      </c>
      <c r="E47" s="133">
        <v>81</v>
      </c>
      <c r="F47" s="91" t="s">
        <v>61</v>
      </c>
      <c r="G47" s="92">
        <f>C51/C45</f>
        <v>0.22935779816513763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28</v>
      </c>
      <c r="D49" s="106">
        <v>621.92999999999995</v>
      </c>
      <c r="E49" s="107">
        <v>92</v>
      </c>
      <c r="F49" s="91" t="s">
        <v>62</v>
      </c>
      <c r="G49" s="92">
        <f>C53/C45</f>
        <v>5.5045871559633031E-2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25</v>
      </c>
      <c r="D51" s="106">
        <v>601.46</v>
      </c>
      <c r="E51" s="107">
        <v>39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505.28</v>
      </c>
      <c r="E53" s="111">
        <v>48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157</v>
      </c>
      <c r="D55" s="89">
        <v>898.54</v>
      </c>
      <c r="E55" s="123">
        <v>117</v>
      </c>
      <c r="F55" s="91" t="s">
        <v>60</v>
      </c>
      <c r="G55" s="164">
        <f>4133759/4319750</f>
        <v>0.956944036113201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22</v>
      </c>
      <c r="D57" s="96">
        <v>695.73</v>
      </c>
      <c r="E57" s="133">
        <v>136</v>
      </c>
      <c r="F57" s="91" t="s">
        <v>61</v>
      </c>
      <c r="G57" s="92">
        <f>C61/C55</f>
        <v>0.12738853503184713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33</v>
      </c>
      <c r="D59" s="157">
        <v>844.31</v>
      </c>
      <c r="E59" s="133">
        <v>110</v>
      </c>
      <c r="F59" s="91" t="s">
        <v>62</v>
      </c>
      <c r="G59" s="92">
        <f>C63/C55</f>
        <v>3.8216560509554139E-2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20</v>
      </c>
      <c r="D61" s="157">
        <v>706.04</v>
      </c>
      <c r="E61" s="142">
        <v>79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845.17</v>
      </c>
      <c r="E63" s="163">
        <v>94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177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35817-F148-4A02-BE14-899D288243CA}">
  <sheetPr codeName="Sheet55"/>
  <dimension ref="A1:M65"/>
  <sheetViews>
    <sheetView view="pageBreakPreview" zoomScaleNormal="100" zoomScaleSheetLayoutView="100" workbookViewId="0">
      <selection activeCell="K27" sqref="K27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174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958</v>
      </c>
      <c r="D5" s="89">
        <v>539.34</v>
      </c>
      <c r="E5" s="90">
        <v>48</v>
      </c>
      <c r="F5" s="91" t="s">
        <v>60</v>
      </c>
      <c r="G5" s="92">
        <v>0.98799999999999999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172</v>
      </c>
      <c r="D7" s="167">
        <v>498.77</v>
      </c>
      <c r="E7" s="97">
        <v>59</v>
      </c>
      <c r="F7" s="91" t="s">
        <v>61</v>
      </c>
      <c r="G7" s="92">
        <f>C11/C5</f>
        <v>0.43841336116910229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250</v>
      </c>
      <c r="D9" s="169">
        <v>520.48</v>
      </c>
      <c r="E9" s="107">
        <v>62</v>
      </c>
      <c r="F9" s="91" t="s">
        <v>62</v>
      </c>
      <c r="G9" s="92">
        <f>C13/C5</f>
        <v>2.5052192066805846E-2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420</v>
      </c>
      <c r="D11" s="169">
        <v>586.66999999999996</v>
      </c>
      <c r="E11" s="107">
        <v>32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24</v>
      </c>
      <c r="D13" s="170">
        <v>523.83000000000004</v>
      </c>
      <c r="E13" s="111">
        <v>57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353</v>
      </c>
      <c r="D15" s="89">
        <v>408.96</v>
      </c>
      <c r="E15" s="90">
        <v>35</v>
      </c>
      <c r="F15" s="91" t="s">
        <v>60</v>
      </c>
      <c r="G15" s="92">
        <f>789798/780412</f>
        <v>1.0120269806204927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62</v>
      </c>
      <c r="D17" s="96">
        <v>418.22</v>
      </c>
      <c r="E17" s="97">
        <v>64</v>
      </c>
      <c r="F17" s="91" t="s">
        <v>61</v>
      </c>
      <c r="G17" s="92">
        <f>C21/C15</f>
        <v>0.5382436260623229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110</v>
      </c>
      <c r="D19" s="106">
        <v>390.64</v>
      </c>
      <c r="E19" s="107">
        <v>44</v>
      </c>
      <c r="F19" s="91" t="s">
        <v>62</v>
      </c>
      <c r="G19" s="92">
        <f>C23/C15</f>
        <v>1.69971671388102E-2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190</v>
      </c>
      <c r="D21" s="106">
        <v>418.46</v>
      </c>
      <c r="E21" s="107">
        <v>26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6</v>
      </c>
      <c r="D23" s="110">
        <v>488.77</v>
      </c>
      <c r="E23" s="111">
        <v>33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195</v>
      </c>
      <c r="D25" s="89">
        <v>470.97</v>
      </c>
      <c r="E25" s="90">
        <v>31</v>
      </c>
      <c r="F25" s="91" t="s">
        <v>60</v>
      </c>
      <c r="G25" s="92">
        <f>1215782/1230472</f>
        <v>0.9880614918502818</v>
      </c>
      <c r="I25" s="124"/>
    </row>
    <row r="26" spans="1:9" ht="6.75" customHeight="1" thickBot="1" x14ac:dyDescent="0.4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46</v>
      </c>
      <c r="D27" s="89">
        <v>456.21</v>
      </c>
      <c r="E27" s="97">
        <v>40</v>
      </c>
      <c r="F27" s="91" t="s">
        <v>61</v>
      </c>
      <c r="G27" s="92">
        <f>C31/C25</f>
        <v>0.52307692307692311</v>
      </c>
      <c r="I27" s="124"/>
    </row>
    <row r="28" spans="1:9" ht="6" customHeight="1" thickBot="1" x14ac:dyDescent="0.4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38</v>
      </c>
      <c r="D29" s="89">
        <v>438.58</v>
      </c>
      <c r="E29" s="107">
        <v>40</v>
      </c>
      <c r="F29" s="91" t="s">
        <v>62</v>
      </c>
      <c r="G29" s="92">
        <f>C33/C25</f>
        <v>3.5897435897435895E-2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102</v>
      </c>
      <c r="D31" s="106">
        <v>450.18</v>
      </c>
      <c r="E31" s="107">
        <v>32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7</v>
      </c>
      <c r="D33" s="110">
        <v>480.95</v>
      </c>
      <c r="E33" s="111">
        <v>53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133</v>
      </c>
      <c r="D35" s="89">
        <v>509.45</v>
      </c>
      <c r="E35" s="123">
        <v>36</v>
      </c>
      <c r="F35" s="91" t="s">
        <v>60</v>
      </c>
      <c r="G35" s="92">
        <f>1737371/1748931</f>
        <v>0.99339024810012522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21</v>
      </c>
      <c r="D37" s="96">
        <v>513.30999999999995</v>
      </c>
      <c r="E37" s="133">
        <v>44</v>
      </c>
      <c r="F37" s="91" t="s">
        <v>61</v>
      </c>
      <c r="G37" s="92">
        <f>C41/C35</f>
        <v>0.46616541353383456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27</v>
      </c>
      <c r="D39" s="106">
        <v>493.43</v>
      </c>
      <c r="E39" s="107">
        <v>46</v>
      </c>
      <c r="F39" s="91" t="s">
        <v>62</v>
      </c>
      <c r="G39" s="92">
        <f>C43/C35</f>
        <v>3.7593984962406013E-2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62</v>
      </c>
      <c r="D41" s="106">
        <v>537.47</v>
      </c>
      <c r="E41" s="107">
        <v>33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5</v>
      </c>
      <c r="D43" s="110">
        <v>501.04</v>
      </c>
      <c r="E43" s="140">
        <v>41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113</v>
      </c>
      <c r="D45" s="89">
        <v>604.91999999999996</v>
      </c>
      <c r="E45" s="123">
        <v>47</v>
      </c>
      <c r="F45" s="91" t="s">
        <v>60</v>
      </c>
      <c r="G45" s="92">
        <f>2404348/2419424</f>
        <v>0.99376876479691034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23</v>
      </c>
      <c r="D47" s="96">
        <v>588.08000000000004</v>
      </c>
      <c r="E47" s="133">
        <v>57</v>
      </c>
      <c r="F47" s="91" t="s">
        <v>61</v>
      </c>
      <c r="G47" s="92">
        <f>C51/C45</f>
        <v>0.29203539823008851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31</v>
      </c>
      <c r="D49" s="106">
        <v>652.27</v>
      </c>
      <c r="E49" s="107">
        <v>86</v>
      </c>
      <c r="F49" s="91" t="s">
        <v>62</v>
      </c>
      <c r="G49" s="92">
        <f>C53/C45</f>
        <v>2.6548672566371681E-2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33</v>
      </c>
      <c r="D51" s="106">
        <v>587.63</v>
      </c>
      <c r="E51" s="107">
        <v>36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3</v>
      </c>
      <c r="D53" s="110">
        <v>532.97</v>
      </c>
      <c r="E53" s="111">
        <v>79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164</v>
      </c>
      <c r="D55" s="89">
        <v>880.3</v>
      </c>
      <c r="E55" s="123">
        <v>107</v>
      </c>
      <c r="F55" s="91" t="s">
        <v>60</v>
      </c>
      <c r="G55" s="164">
        <f>4968586/5188132</f>
        <v>0.95768303504999486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20</v>
      </c>
      <c r="D57" s="96">
        <v>728.37</v>
      </c>
      <c r="E57" s="133">
        <v>111</v>
      </c>
      <c r="F57" s="91" t="s">
        <v>61</v>
      </c>
      <c r="G57" s="92">
        <f>C61/C55</f>
        <v>0.20121951219512196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44</v>
      </c>
      <c r="D59" s="157">
        <v>839.56</v>
      </c>
      <c r="E59" s="133">
        <v>123</v>
      </c>
      <c r="F59" s="91" t="s">
        <v>62</v>
      </c>
      <c r="G59" s="92">
        <f>C63/C55</f>
        <v>1.8292682926829267E-2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33</v>
      </c>
      <c r="D61" s="157">
        <v>736.83</v>
      </c>
      <c r="E61" s="142">
        <v>64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722.8</v>
      </c>
      <c r="E63" s="163">
        <v>123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175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91A0-B332-4329-9573-F9808207F4D7}">
  <sheetPr codeName="Sheet4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172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685</v>
      </c>
      <c r="D5" s="89">
        <v>557.16</v>
      </c>
      <c r="E5" s="90">
        <v>48</v>
      </c>
      <c r="F5" s="91" t="s">
        <v>60</v>
      </c>
      <c r="G5" s="92">
        <f>1428845/1406534</f>
        <v>1.0158623965009022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226</v>
      </c>
      <c r="D7" s="96">
        <v>480.4</v>
      </c>
      <c r="E7" s="97">
        <v>55</v>
      </c>
      <c r="F7" s="91" t="s">
        <v>61</v>
      </c>
      <c r="G7" s="92">
        <f>C11/C5</f>
        <v>0.7138686131386861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310</v>
      </c>
      <c r="D9" s="106">
        <v>536.45000000000005</v>
      </c>
      <c r="E9" s="107">
        <v>50</v>
      </c>
      <c r="F9" s="91" t="s">
        <v>62</v>
      </c>
      <c r="G9" s="92">
        <f>C13/C5</f>
        <v>2.4817518248175182E-2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489</v>
      </c>
      <c r="D11" s="106">
        <v>483.54</v>
      </c>
      <c r="E11" s="107">
        <v>28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17</v>
      </c>
      <c r="D13" s="110">
        <v>636.88</v>
      </c>
      <c r="E13" s="111">
        <v>138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227</v>
      </c>
      <c r="D15" s="89">
        <v>417.5</v>
      </c>
      <c r="E15" s="90">
        <v>32</v>
      </c>
      <c r="F15" s="91" t="s">
        <v>60</v>
      </c>
      <c r="G15" s="92">
        <f>798270/770389</f>
        <v>1.0361908075011454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100</v>
      </c>
      <c r="D17" s="96">
        <v>404.71</v>
      </c>
      <c r="E17" s="97">
        <v>54</v>
      </c>
      <c r="F17" s="91" t="s">
        <v>61</v>
      </c>
      <c r="G17" s="92">
        <f>C21/C15</f>
        <v>1.0572687224669604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111</v>
      </c>
      <c r="D19" s="106">
        <v>403.93</v>
      </c>
      <c r="E19" s="107">
        <v>33</v>
      </c>
      <c r="F19" s="91" t="s">
        <v>62</v>
      </c>
      <c r="G19" s="92">
        <f>C23/C15</f>
        <v>2.2026431718061675E-2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240</v>
      </c>
      <c r="D21" s="106">
        <v>423.87</v>
      </c>
      <c r="E21" s="107">
        <v>19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5</v>
      </c>
      <c r="D23" s="110">
        <v>432.15</v>
      </c>
      <c r="E23" s="111">
        <v>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145</v>
      </c>
      <c r="D25" s="89">
        <v>484.26</v>
      </c>
      <c r="E25" s="90">
        <v>26</v>
      </c>
      <c r="F25" s="91" t="s">
        <v>60</v>
      </c>
      <c r="G25" s="92">
        <f>1269260/1235774</f>
        <v>1.0270971876734742</v>
      </c>
      <c r="I25" s="124"/>
    </row>
    <row r="26" spans="1:9" ht="6.75" customHeight="1" thickBot="1" x14ac:dyDescent="0.4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54</v>
      </c>
      <c r="D27" s="89">
        <v>449.69</v>
      </c>
      <c r="E27" s="97">
        <v>41</v>
      </c>
      <c r="F27" s="91" t="s">
        <v>61</v>
      </c>
      <c r="G27" s="92">
        <f>C31/C25</f>
        <v>0.7448275862068966</v>
      </c>
      <c r="I27" s="124"/>
    </row>
    <row r="28" spans="1:9" ht="6" customHeight="1" thickBot="1" x14ac:dyDescent="0.4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54</v>
      </c>
      <c r="D29" s="89">
        <v>466.27</v>
      </c>
      <c r="E29" s="107">
        <v>29</v>
      </c>
      <c r="F29" s="91" t="s">
        <v>62</v>
      </c>
      <c r="G29" s="92">
        <f>C33/C25</f>
        <v>6.8965517241379309E-3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108</v>
      </c>
      <c r="D31" s="106">
        <v>461.83</v>
      </c>
      <c r="E31" s="107">
        <v>29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</v>
      </c>
      <c r="D33" s="110">
        <v>365.9</v>
      </c>
      <c r="E33" s="111">
        <v>26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93</v>
      </c>
      <c r="D35" s="89">
        <v>515.45000000000005</v>
      </c>
      <c r="E35" s="123">
        <v>32</v>
      </c>
      <c r="F35" s="91" t="s">
        <v>60</v>
      </c>
      <c r="G35" s="92">
        <f>1728863/1692269</f>
        <v>1.0216242216810685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30</v>
      </c>
      <c r="D37" s="96">
        <v>491.6</v>
      </c>
      <c r="E37" s="133">
        <v>48</v>
      </c>
      <c r="F37" s="91" t="s">
        <v>61</v>
      </c>
      <c r="G37" s="92">
        <f>C41/C35</f>
        <v>0.59139784946236562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41</v>
      </c>
      <c r="D39" s="106">
        <v>503.17</v>
      </c>
      <c r="E39" s="107">
        <v>24</v>
      </c>
      <c r="F39" s="91" t="s">
        <v>62</v>
      </c>
      <c r="G39" s="92">
        <f>C43/C35</f>
        <v>2.1505376344086023E-2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55</v>
      </c>
      <c r="D41" s="106">
        <v>525.72</v>
      </c>
      <c r="E41" s="107">
        <v>23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395.1</v>
      </c>
      <c r="E43" s="140">
        <v>44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90</v>
      </c>
      <c r="D45" s="89">
        <v>606.54999999999995</v>
      </c>
      <c r="E45" s="123">
        <v>39</v>
      </c>
      <c r="F45" s="91" t="s">
        <v>60</v>
      </c>
      <c r="G45" s="92">
        <f>2488790/2473232</f>
        <v>1.0062905542221676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17</v>
      </c>
      <c r="D47" s="96">
        <v>581.76</v>
      </c>
      <c r="E47" s="133">
        <v>64</v>
      </c>
      <c r="F47" s="91" t="s">
        <v>61</v>
      </c>
      <c r="G47" s="92">
        <f>C51/C45</f>
        <v>0.48888888888888887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49</v>
      </c>
      <c r="D49" s="106">
        <v>627.80999999999995</v>
      </c>
      <c r="E49" s="107">
        <v>65</v>
      </c>
      <c r="F49" s="91" t="s">
        <v>62</v>
      </c>
      <c r="G49" s="92">
        <f>C53/C45</f>
        <v>3.3333333333333333E-2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44</v>
      </c>
      <c r="D51" s="106">
        <v>569.91</v>
      </c>
      <c r="E51" s="107">
        <v>44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3</v>
      </c>
      <c r="D53" s="110">
        <v>679.23</v>
      </c>
      <c r="E53" s="111">
        <v>163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130</v>
      </c>
      <c r="D55" s="89">
        <v>877.97</v>
      </c>
      <c r="E55" s="123">
        <v>120</v>
      </c>
      <c r="F55" s="91" t="s">
        <v>60</v>
      </c>
      <c r="G55" s="164">
        <f>3939197/3989073</f>
        <v>0.98749684450497643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25</v>
      </c>
      <c r="D57" s="96">
        <v>767.13</v>
      </c>
      <c r="E57" s="133">
        <v>94</v>
      </c>
      <c r="F57" s="91" t="s">
        <v>61</v>
      </c>
      <c r="G57" s="92">
        <f>C61/C55</f>
        <v>0.32307692307692309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55</v>
      </c>
      <c r="D59" s="157">
        <v>816.22</v>
      </c>
      <c r="E59" s="133">
        <v>114</v>
      </c>
      <c r="F59" s="91" t="s">
        <v>62</v>
      </c>
      <c r="G59" s="92">
        <f>C63/C55</f>
        <v>4.6153846153846156E-2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42</v>
      </c>
      <c r="D61" s="157">
        <v>734.61</v>
      </c>
      <c r="E61" s="142">
        <v>62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912.08</v>
      </c>
      <c r="E63" s="163">
        <v>288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173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AAE20-57B5-4862-9049-4806FD37883B}">
  <sheetPr codeName="Sheet5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170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450</v>
      </c>
      <c r="D5" s="89">
        <v>605.01</v>
      </c>
      <c r="E5" s="90">
        <v>58</v>
      </c>
      <c r="F5" s="91" t="s">
        <v>60</v>
      </c>
      <c r="G5" s="92">
        <f>1489515/1450439</f>
        <v>1.0269408089550818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240</v>
      </c>
      <c r="D7" s="96">
        <v>491.23</v>
      </c>
      <c r="E7" s="97">
        <v>52</v>
      </c>
      <c r="F7" s="91" t="s">
        <v>61</v>
      </c>
      <c r="G7" s="92">
        <f>C11/C5</f>
        <v>1.0977777777777777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379</v>
      </c>
      <c r="D9" s="106">
        <v>502.36</v>
      </c>
      <c r="E9" s="107">
        <v>45</v>
      </c>
      <c r="F9" s="91" t="s">
        <v>62</v>
      </c>
      <c r="G9" s="92">
        <f>C13/C5</f>
        <v>4.4444444444444446E-2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494</v>
      </c>
      <c r="D11" s="106">
        <v>476.1</v>
      </c>
      <c r="E11" s="107">
        <v>33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20</v>
      </c>
      <c r="D13" s="110">
        <v>585.37</v>
      </c>
      <c r="E13" s="111">
        <v>104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110</v>
      </c>
      <c r="D15" s="89">
        <v>392.92</v>
      </c>
      <c r="E15" s="90">
        <v>36</v>
      </c>
      <c r="F15" s="91" t="s">
        <v>60</v>
      </c>
      <c r="G15" s="92">
        <f>825793/785953</f>
        <v>1.0506900539854165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96</v>
      </c>
      <c r="D17" s="96">
        <v>399.15</v>
      </c>
      <c r="E17" s="97">
        <v>51</v>
      </c>
      <c r="F17" s="91" t="s">
        <v>61</v>
      </c>
      <c r="G17" s="92">
        <f>C21/C15</f>
        <v>2.1818181818181817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162</v>
      </c>
      <c r="D19" s="106">
        <v>401.48</v>
      </c>
      <c r="E19" s="107">
        <v>26</v>
      </c>
      <c r="F19" s="91" t="s">
        <v>62</v>
      </c>
      <c r="G19" s="92">
        <f>C23/C15</f>
        <v>5.4545454545454543E-2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240</v>
      </c>
      <c r="D21" s="106">
        <v>419.94</v>
      </c>
      <c r="E21" s="107">
        <v>23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6</v>
      </c>
      <c r="D23" s="110">
        <v>398.81</v>
      </c>
      <c r="E23" s="111">
        <v>19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88</v>
      </c>
      <c r="D25" s="89">
        <v>514.21</v>
      </c>
      <c r="E25" s="90">
        <v>20</v>
      </c>
      <c r="F25" s="91" t="s">
        <v>60</v>
      </c>
      <c r="G25" s="92">
        <f>1293900/1239499</f>
        <v>1.0438895069701548</v>
      </c>
      <c r="I25" s="124"/>
    </row>
    <row r="26" spans="1:9" ht="6.75" customHeight="1" thickBot="1" x14ac:dyDescent="0.4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46</v>
      </c>
      <c r="D27" s="89">
        <v>446.9</v>
      </c>
      <c r="E27" s="97">
        <v>40</v>
      </c>
      <c r="F27" s="91" t="s">
        <v>61</v>
      </c>
      <c r="G27" s="92">
        <f>C31/C25</f>
        <v>1.3409090909090908</v>
      </c>
      <c r="I27" s="124"/>
    </row>
    <row r="28" spans="1:9" ht="6" customHeight="1" thickBot="1" x14ac:dyDescent="0.4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73</v>
      </c>
      <c r="D29" s="89">
        <v>434.04</v>
      </c>
      <c r="E29" s="107">
        <v>33</v>
      </c>
      <c r="F29" s="91" t="s">
        <v>62</v>
      </c>
      <c r="G29" s="92">
        <f>C33/C25</f>
        <v>3.4090909090909088E-2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118</v>
      </c>
      <c r="D31" s="106">
        <v>460.35</v>
      </c>
      <c r="E31" s="107">
        <v>24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345.63</v>
      </c>
      <c r="E33" s="111">
        <v>36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68</v>
      </c>
      <c r="D35" s="89">
        <v>500.35</v>
      </c>
      <c r="E35" s="123">
        <v>21</v>
      </c>
      <c r="F35" s="91" t="s">
        <v>60</v>
      </c>
      <c r="G35" s="92">
        <f>1809425/1711229</f>
        <v>1.0573833192401485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36</v>
      </c>
      <c r="D37" s="96">
        <v>601.09</v>
      </c>
      <c r="E37" s="133">
        <v>40</v>
      </c>
      <c r="F37" s="91" t="s">
        <v>61</v>
      </c>
      <c r="G37" s="92">
        <f>C41/C35</f>
        <v>0.80882352941176472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38</v>
      </c>
      <c r="D39" s="106">
        <v>499.58</v>
      </c>
      <c r="E39" s="107">
        <v>15</v>
      </c>
      <c r="F39" s="91" t="s">
        <v>62</v>
      </c>
      <c r="G39" s="92">
        <f>C43/C35</f>
        <v>4.4117647058823532E-2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55</v>
      </c>
      <c r="D41" s="106">
        <v>532.41</v>
      </c>
      <c r="E41" s="107">
        <v>33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3</v>
      </c>
      <c r="D43" s="110">
        <v>609.21</v>
      </c>
      <c r="E43" s="140">
        <v>41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64</v>
      </c>
      <c r="D45" s="89">
        <v>620.46</v>
      </c>
      <c r="E45" s="123">
        <v>40</v>
      </c>
      <c r="F45" s="91" t="s">
        <v>60</v>
      </c>
      <c r="G45" s="92">
        <f>2530017/2520593</f>
        <v>1.0037388027341185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31</v>
      </c>
      <c r="D47" s="96">
        <v>573.5</v>
      </c>
      <c r="E47" s="133">
        <v>46</v>
      </c>
      <c r="F47" s="91" t="s">
        <v>61</v>
      </c>
      <c r="G47" s="92">
        <f>C51/C45</f>
        <v>0.65625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46</v>
      </c>
      <c r="D49" s="106">
        <v>605.27</v>
      </c>
      <c r="E49" s="107">
        <v>81</v>
      </c>
      <c r="F49" s="91" t="s">
        <v>62</v>
      </c>
      <c r="G49" s="92">
        <f>C53/C45</f>
        <v>6.25E-2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42</v>
      </c>
      <c r="D51" s="106">
        <v>566.28</v>
      </c>
      <c r="E51" s="107">
        <v>44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707.38</v>
      </c>
      <c r="E53" s="111">
        <v>194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120</v>
      </c>
      <c r="D55" s="89">
        <v>917.09</v>
      </c>
      <c r="E55" s="123">
        <v>136</v>
      </c>
      <c r="F55" s="91" t="s">
        <v>60</v>
      </c>
      <c r="G55" s="164">
        <f>4594128/4657562</f>
        <v>0.98638042821544836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31</v>
      </c>
      <c r="D57" s="96">
        <v>748.41</v>
      </c>
      <c r="E57" s="133">
        <v>91</v>
      </c>
      <c r="F57" s="91" t="s">
        <v>61</v>
      </c>
      <c r="G57" s="92">
        <f>C61/C55</f>
        <v>0.32500000000000001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60</v>
      </c>
      <c r="D59" s="157">
        <v>780.69</v>
      </c>
      <c r="E59" s="133">
        <v>105</v>
      </c>
      <c r="F59" s="91" t="s">
        <v>62</v>
      </c>
      <c r="G59" s="92">
        <f>C63/C55</f>
        <v>3.3333333333333333E-2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39</v>
      </c>
      <c r="D61" s="157">
        <v>692.83</v>
      </c>
      <c r="E61" s="142">
        <v>106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905.14</v>
      </c>
      <c r="E63" s="163">
        <v>240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171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2B5CC-F2B9-4B56-AE11-7481B33FD62A}">
  <sheetPr codeName="Sheet6"/>
  <dimension ref="A1:M65"/>
  <sheetViews>
    <sheetView view="pageBreakPreview" topLeftCell="A25" zoomScaleNormal="100" zoomScaleSheetLayoutView="100" workbookViewId="0">
      <selection activeCell="I55" sqref="I5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168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346</v>
      </c>
      <c r="D5" s="89">
        <v>607.87</v>
      </c>
      <c r="E5" s="90">
        <v>74</v>
      </c>
      <c r="F5" s="91" t="s">
        <v>60</v>
      </c>
      <c r="G5" s="92">
        <f>1438306/1409904</f>
        <v>1.0201446339608937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228</v>
      </c>
      <c r="D7" s="96">
        <v>482.44</v>
      </c>
      <c r="E7" s="97">
        <v>56</v>
      </c>
      <c r="F7" s="91" t="s">
        <v>61</v>
      </c>
      <c r="G7" s="92">
        <f>C11/C5</f>
        <v>1.5028901734104045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384</v>
      </c>
      <c r="D9" s="106">
        <v>495.68</v>
      </c>
      <c r="E9" s="107">
        <v>51</v>
      </c>
      <c r="F9" s="91" t="s">
        <v>62</v>
      </c>
      <c r="G9" s="92">
        <f>C13/C5</f>
        <v>3.7572254335260118E-2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520</v>
      </c>
      <c r="D11" s="106">
        <v>464.95</v>
      </c>
      <c r="E11" s="107">
        <v>31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13</v>
      </c>
      <c r="D13" s="110">
        <v>516.41999999999996</v>
      </c>
      <c r="E13" s="111">
        <v>168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87</v>
      </c>
      <c r="D15" s="89">
        <v>377.95</v>
      </c>
      <c r="E15" s="90">
        <v>39</v>
      </c>
      <c r="F15" s="91" t="s">
        <v>60</v>
      </c>
      <c r="G15" s="92">
        <f>781562/744297</f>
        <v>1.0500673790167097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108</v>
      </c>
      <c r="D17" s="96">
        <v>389.89</v>
      </c>
      <c r="E17" s="97">
        <v>53</v>
      </c>
      <c r="F17" s="91" t="s">
        <v>61</v>
      </c>
      <c r="G17" s="92">
        <f>C21/C15</f>
        <v>2.8850574712643677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147</v>
      </c>
      <c r="D19" s="106">
        <v>377.55</v>
      </c>
      <c r="E19" s="107">
        <v>31</v>
      </c>
      <c r="F19" s="91" t="s">
        <v>62</v>
      </c>
      <c r="G19" s="92">
        <f>C23/C15</f>
        <v>4.5977011494252873E-2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251</v>
      </c>
      <c r="D21" s="106">
        <v>404.99</v>
      </c>
      <c r="E21" s="107">
        <v>24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4</v>
      </c>
      <c r="D23" s="110">
        <v>349.34</v>
      </c>
      <c r="E23" s="111">
        <v>36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57</v>
      </c>
      <c r="D25" s="89">
        <v>425.84</v>
      </c>
      <c r="E25" s="90">
        <v>17</v>
      </c>
      <c r="F25" s="91" t="s">
        <v>60</v>
      </c>
      <c r="G25" s="92">
        <f>1284333/1241031</f>
        <v>1.0348919567682031</v>
      </c>
      <c r="I25" s="124"/>
    </row>
    <row r="26" spans="1:9" ht="6.75" customHeight="1" thickBot="1" x14ac:dyDescent="0.4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45</v>
      </c>
      <c r="D27" s="89">
        <v>441.34</v>
      </c>
      <c r="E27" s="97">
        <v>32</v>
      </c>
      <c r="F27" s="91" t="s">
        <v>61</v>
      </c>
      <c r="G27" s="92">
        <f>C31/C25</f>
        <v>2.1754385964912282</v>
      </c>
      <c r="I27" s="124"/>
    </row>
    <row r="28" spans="1:9" ht="6" customHeight="1" thickBot="1" x14ac:dyDescent="0.4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75</v>
      </c>
      <c r="D29" s="89">
        <v>416.62</v>
      </c>
      <c r="E29" s="107">
        <v>34</v>
      </c>
      <c r="F29" s="91" t="s">
        <v>62</v>
      </c>
      <c r="G29" s="92">
        <f>C33/C25</f>
        <v>1.7543859649122806E-2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124</v>
      </c>
      <c r="D31" s="106">
        <v>439.59</v>
      </c>
      <c r="E31" s="107">
        <v>29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</v>
      </c>
      <c r="D33" s="110">
        <v>590.29999999999995</v>
      </c>
      <c r="E33" s="111">
        <v>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46</v>
      </c>
      <c r="D35" s="89">
        <v>628.28</v>
      </c>
      <c r="E35" s="123">
        <v>29</v>
      </c>
      <c r="F35" s="91" t="s">
        <v>60</v>
      </c>
      <c r="G35" s="92">
        <f>1765518/1727874</f>
        <v>1.0217863108073852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20</v>
      </c>
      <c r="D37" s="96">
        <v>469.91</v>
      </c>
      <c r="E37" s="133">
        <v>30</v>
      </c>
      <c r="F37" s="91" t="s">
        <v>61</v>
      </c>
      <c r="G37" s="92">
        <f>C41/C35</f>
        <v>1.2391304347826086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45</v>
      </c>
      <c r="D39" s="106">
        <v>521.26</v>
      </c>
      <c r="E39" s="107">
        <v>30</v>
      </c>
      <c r="F39" s="91" t="s">
        <v>62</v>
      </c>
      <c r="G39" s="92">
        <f>C43/C35</f>
        <v>4.3478260869565216E-2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57</v>
      </c>
      <c r="D41" s="106">
        <v>490.9</v>
      </c>
      <c r="E41" s="107">
        <v>42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316.20999999999998</v>
      </c>
      <c r="E43" s="140">
        <v>79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49</v>
      </c>
      <c r="D45" s="89">
        <v>582.6</v>
      </c>
      <c r="E45" s="123">
        <v>68</v>
      </c>
      <c r="F45" s="91" t="s">
        <v>60</v>
      </c>
      <c r="G45" s="92">
        <f>2497412/2441588</f>
        <v>1.0228638083083632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22</v>
      </c>
      <c r="D47" s="96">
        <v>606.19000000000005</v>
      </c>
      <c r="E47" s="133">
        <v>50</v>
      </c>
      <c r="F47" s="91" t="s">
        <v>61</v>
      </c>
      <c r="G47" s="92">
        <f>C51/C45</f>
        <v>1.0408163265306123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52</v>
      </c>
      <c r="D49" s="106">
        <v>589.57000000000005</v>
      </c>
      <c r="E49" s="107">
        <v>85</v>
      </c>
      <c r="F49" s="91" t="s">
        <v>62</v>
      </c>
      <c r="G49" s="92">
        <f>C53/C45</f>
        <v>0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51</v>
      </c>
      <c r="D51" s="106">
        <v>593.13</v>
      </c>
      <c r="E51" s="107">
        <v>39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107</v>
      </c>
      <c r="D55" s="89">
        <v>894.57</v>
      </c>
      <c r="E55" s="123">
        <v>155</v>
      </c>
      <c r="F55" s="91" t="s">
        <v>60</v>
      </c>
      <c r="G55" s="164">
        <f>4445595/4579294</f>
        <v>0.97080357801879502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33</v>
      </c>
      <c r="D57" s="96">
        <v>733.73</v>
      </c>
      <c r="E57" s="133">
        <v>119</v>
      </c>
      <c r="F57" s="91" t="s">
        <v>61</v>
      </c>
      <c r="G57" s="92">
        <f>C61/C55</f>
        <v>0.34579439252336447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65</v>
      </c>
      <c r="D59" s="157">
        <v>761.26</v>
      </c>
      <c r="E59" s="133">
        <v>107</v>
      </c>
      <c r="F59" s="91" t="s">
        <v>62</v>
      </c>
      <c r="G59" s="92">
        <f>C63/C55</f>
        <v>5.6074766355140186E-2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37</v>
      </c>
      <c r="D61" s="157">
        <v>740</v>
      </c>
      <c r="E61" s="142">
        <v>57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682.13</v>
      </c>
      <c r="E63" s="163">
        <v>313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169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77266-5100-4028-9FD9-06FC65B07A09}">
  <sheetPr codeName="Sheet7"/>
  <dimension ref="A1:M65"/>
  <sheetViews>
    <sheetView view="pageBreakPreview" zoomScaleNormal="100" zoomScaleSheetLayoutView="100" workbookViewId="0">
      <selection activeCell="O28" sqref="O28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167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312</v>
      </c>
      <c r="D5" s="89">
        <v>611.97</v>
      </c>
      <c r="E5" s="90">
        <v>97</v>
      </c>
      <c r="F5" s="91" t="s">
        <v>60</v>
      </c>
      <c r="G5" s="92">
        <f>1388218/1365472</f>
        <v>1.0166579761430479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229</v>
      </c>
      <c r="D7" s="96">
        <v>468.03</v>
      </c>
      <c r="E7" s="97">
        <v>59</v>
      </c>
      <c r="F7" s="91" t="s">
        <v>61</v>
      </c>
      <c r="G7" s="92">
        <f>C11/C5</f>
        <v>1.375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371</v>
      </c>
      <c r="D9" s="106">
        <v>475.54</v>
      </c>
      <c r="E9" s="107">
        <v>53</v>
      </c>
      <c r="F9" s="91" t="s">
        <v>62</v>
      </c>
      <c r="G9" s="92">
        <f>C13/C5</f>
        <v>1.282051282051282E-2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429</v>
      </c>
      <c r="D11" s="106">
        <v>448.24</v>
      </c>
      <c r="E11" s="107">
        <v>40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</v>
      </c>
      <c r="D13" s="110">
        <v>384.16</v>
      </c>
      <c r="E13" s="111">
        <v>27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90</v>
      </c>
      <c r="D15" s="89">
        <v>360.84</v>
      </c>
      <c r="E15" s="90">
        <v>54</v>
      </c>
      <c r="F15" s="91" t="s">
        <v>60</v>
      </c>
      <c r="G15" s="92">
        <f>786641/759801</f>
        <v>1.0353250390562792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99</v>
      </c>
      <c r="D17" s="96">
        <v>374.66</v>
      </c>
      <c r="E17" s="97">
        <v>54</v>
      </c>
      <c r="F17" s="91" t="s">
        <v>61</v>
      </c>
      <c r="G17" s="92">
        <f>C21/C15</f>
        <v>2.5111111111111111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166</v>
      </c>
      <c r="D19" s="106">
        <v>379.82</v>
      </c>
      <c r="E19" s="107">
        <v>35</v>
      </c>
      <c r="F19" s="91" t="s">
        <v>62</v>
      </c>
      <c r="G19" s="92">
        <f>C23/C15</f>
        <v>3.3333333333333333E-2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226</v>
      </c>
      <c r="D21" s="106">
        <v>391.32</v>
      </c>
      <c r="E21" s="107">
        <v>37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</v>
      </c>
      <c r="D23" s="110">
        <v>344.88</v>
      </c>
      <c r="E23" s="111">
        <v>12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38</v>
      </c>
      <c r="D25" s="89">
        <v>433.59</v>
      </c>
      <c r="E25" s="90">
        <v>26</v>
      </c>
      <c r="F25" s="91" t="s">
        <v>60</v>
      </c>
      <c r="G25" s="92">
        <f>1258840/1236127</f>
        <v>1.0183743256154101</v>
      </c>
      <c r="I25" s="124"/>
    </row>
    <row r="26" spans="1:9" ht="6.75" customHeight="1" thickBot="1" x14ac:dyDescent="0.4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46</v>
      </c>
      <c r="D27" s="89">
        <v>421.92</v>
      </c>
      <c r="E27" s="97">
        <v>49</v>
      </c>
      <c r="F27" s="91" t="s">
        <v>61</v>
      </c>
      <c r="G27" s="92">
        <f>C31/C25</f>
        <v>2.1842105263157894</v>
      </c>
      <c r="I27" s="124"/>
    </row>
    <row r="28" spans="1:9" ht="6" customHeight="1" thickBot="1" x14ac:dyDescent="0.4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75</v>
      </c>
      <c r="D29" s="89">
        <v>403.74</v>
      </c>
      <c r="E29" s="107">
        <v>35</v>
      </c>
      <c r="F29" s="91" t="s">
        <v>62</v>
      </c>
      <c r="G29" s="92">
        <f>C33/C25</f>
        <v>0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83</v>
      </c>
      <c r="D31" s="106">
        <v>429.61</v>
      </c>
      <c r="E31" s="107">
        <v>36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0</v>
      </c>
      <c r="D33" s="110" t="s">
        <v>30</v>
      </c>
      <c r="E33" s="111" t="s">
        <v>30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26</v>
      </c>
      <c r="D35" s="89">
        <v>708.61</v>
      </c>
      <c r="E35" s="123">
        <v>37</v>
      </c>
      <c r="F35" s="91" t="s">
        <v>60</v>
      </c>
      <c r="G35" s="92">
        <f>1758741/1721396</f>
        <v>1.0216946013584323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24</v>
      </c>
      <c r="D37" s="96">
        <v>478.78</v>
      </c>
      <c r="E37" s="133">
        <v>28</v>
      </c>
      <c r="F37" s="91" t="s">
        <v>61</v>
      </c>
      <c r="G37" s="92">
        <f>C41/C35</f>
        <v>2.1538461538461537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40</v>
      </c>
      <c r="D39" s="106">
        <v>504.37</v>
      </c>
      <c r="E39" s="107">
        <v>45</v>
      </c>
      <c r="F39" s="91" t="s">
        <v>62</v>
      </c>
      <c r="G39" s="92">
        <f>C43/C35</f>
        <v>0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56</v>
      </c>
      <c r="D41" s="106">
        <v>486.54</v>
      </c>
      <c r="E41" s="107">
        <v>38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0</v>
      </c>
      <c r="D43" s="110" t="s">
        <v>30</v>
      </c>
      <c r="E43" s="140" t="s">
        <v>30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43</v>
      </c>
      <c r="D45" s="89">
        <v>601.54</v>
      </c>
      <c r="E45" s="123">
        <v>77</v>
      </c>
      <c r="F45" s="91" t="s">
        <v>60</v>
      </c>
      <c r="G45" s="92">
        <f>2422153/2399067</f>
        <v>1.0096229075719854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29</v>
      </c>
      <c r="D47" s="96">
        <v>561.49</v>
      </c>
      <c r="E47" s="133">
        <v>36</v>
      </c>
      <c r="F47" s="91" t="s">
        <v>61</v>
      </c>
      <c r="G47" s="92">
        <f>C51/C45</f>
        <v>0.88372093023255816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42</v>
      </c>
      <c r="D49" s="106">
        <v>616.29</v>
      </c>
      <c r="E49" s="107">
        <v>108</v>
      </c>
      <c r="F49" s="91" t="s">
        <v>62</v>
      </c>
      <c r="G49" s="92">
        <f>C53/C45</f>
        <v>2.3255813953488372E-2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38</v>
      </c>
      <c r="D51" s="106">
        <v>540</v>
      </c>
      <c r="E51" s="107">
        <v>60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502.01</v>
      </c>
      <c r="E53" s="111">
        <v>73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115</v>
      </c>
      <c r="D55" s="89">
        <v>849.51</v>
      </c>
      <c r="E55" s="123">
        <v>176</v>
      </c>
      <c r="F55" s="91" t="s">
        <v>60</v>
      </c>
      <c r="G55" s="164">
        <f>4556920/4596766</f>
        <v>0.99133173191761337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31</v>
      </c>
      <c r="D57" s="96">
        <v>738.87</v>
      </c>
      <c r="E57" s="133">
        <v>131</v>
      </c>
      <c r="F57" s="91" t="s">
        <v>61</v>
      </c>
      <c r="G57" s="92">
        <f>C61/C55</f>
        <v>0.24347826086956523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48</v>
      </c>
      <c r="D59" s="157">
        <v>771.62</v>
      </c>
      <c r="E59" s="133">
        <v>106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28</v>
      </c>
      <c r="D61" s="157">
        <v>768.31</v>
      </c>
      <c r="E61" s="142">
        <v>47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63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166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83AB5-5FEB-44CC-9DE4-EA40A9F8BC09}">
  <sheetPr codeName="Sheet3"/>
  <dimension ref="B4:AD73"/>
  <sheetViews>
    <sheetView showGridLines="0" tabSelected="1" topLeftCell="A46" workbookViewId="0">
      <selection activeCell="N74" sqref="N74"/>
    </sheetView>
  </sheetViews>
  <sheetFormatPr defaultColWidth="9.81640625" defaultRowHeight="13.5" x14ac:dyDescent="0.35"/>
  <cols>
    <col min="1" max="1" width="9.81640625" style="52"/>
    <col min="2" max="2" width="8.1796875" style="52" customWidth="1"/>
    <col min="3" max="3" width="2.1796875" style="52" hidden="1" customWidth="1"/>
    <col min="4" max="14" width="6.54296875" style="52" customWidth="1"/>
    <col min="15" max="15" width="7.1796875" style="52" customWidth="1"/>
    <col min="16" max="16" width="7.453125" style="52" customWidth="1"/>
    <col min="17" max="17" width="6.54296875" style="52" customWidth="1"/>
    <col min="18" max="18" width="7.7265625" style="52" customWidth="1"/>
    <col min="19" max="28" width="6.54296875" style="52" customWidth="1"/>
    <col min="29" max="29" width="9" style="52" customWidth="1"/>
    <col min="30" max="30" width="9.81640625" style="52"/>
    <col min="31" max="31" width="11" style="52" bestFit="1" customWidth="1"/>
    <col min="32" max="257" width="9.81640625" style="52"/>
    <col min="258" max="258" width="8.1796875" style="52" customWidth="1"/>
    <col min="259" max="259" width="0" style="52" hidden="1" customWidth="1"/>
    <col min="260" max="270" width="6.54296875" style="52" customWidth="1"/>
    <col min="271" max="271" width="6.453125" style="52" customWidth="1"/>
    <col min="272" max="272" width="7.453125" style="52" customWidth="1"/>
    <col min="273" max="273" width="6.54296875" style="52" customWidth="1"/>
    <col min="274" max="274" width="7.7265625" style="52" customWidth="1"/>
    <col min="275" max="284" width="6.54296875" style="52" customWidth="1"/>
    <col min="285" max="285" width="9" style="52" customWidth="1"/>
    <col min="286" max="286" width="9.81640625" style="52"/>
    <col min="287" max="287" width="11" style="52" bestFit="1" customWidth="1"/>
    <col min="288" max="513" width="9.81640625" style="52"/>
    <col min="514" max="514" width="8.1796875" style="52" customWidth="1"/>
    <col min="515" max="515" width="0" style="52" hidden="1" customWidth="1"/>
    <col min="516" max="526" width="6.54296875" style="52" customWidth="1"/>
    <col min="527" max="527" width="6.453125" style="52" customWidth="1"/>
    <col min="528" max="528" width="7.453125" style="52" customWidth="1"/>
    <col min="529" max="529" width="6.54296875" style="52" customWidth="1"/>
    <col min="530" max="530" width="7.7265625" style="52" customWidth="1"/>
    <col min="531" max="540" width="6.54296875" style="52" customWidth="1"/>
    <col min="541" max="541" width="9" style="52" customWidth="1"/>
    <col min="542" max="542" width="9.81640625" style="52"/>
    <col min="543" max="543" width="11" style="52" bestFit="1" customWidth="1"/>
    <col min="544" max="769" width="9.81640625" style="52"/>
    <col min="770" max="770" width="8.1796875" style="52" customWidth="1"/>
    <col min="771" max="771" width="0" style="52" hidden="1" customWidth="1"/>
    <col min="772" max="782" width="6.54296875" style="52" customWidth="1"/>
    <col min="783" max="783" width="6.453125" style="52" customWidth="1"/>
    <col min="784" max="784" width="7.453125" style="52" customWidth="1"/>
    <col min="785" max="785" width="6.54296875" style="52" customWidth="1"/>
    <col min="786" max="786" width="7.7265625" style="52" customWidth="1"/>
    <col min="787" max="796" width="6.54296875" style="52" customWidth="1"/>
    <col min="797" max="797" width="9" style="52" customWidth="1"/>
    <col min="798" max="798" width="9.81640625" style="52"/>
    <col min="799" max="799" width="11" style="52" bestFit="1" customWidth="1"/>
    <col min="800" max="1025" width="9.81640625" style="52"/>
    <col min="1026" max="1026" width="8.1796875" style="52" customWidth="1"/>
    <col min="1027" max="1027" width="0" style="52" hidden="1" customWidth="1"/>
    <col min="1028" max="1038" width="6.54296875" style="52" customWidth="1"/>
    <col min="1039" max="1039" width="6.453125" style="52" customWidth="1"/>
    <col min="1040" max="1040" width="7.453125" style="52" customWidth="1"/>
    <col min="1041" max="1041" width="6.54296875" style="52" customWidth="1"/>
    <col min="1042" max="1042" width="7.7265625" style="52" customWidth="1"/>
    <col min="1043" max="1052" width="6.54296875" style="52" customWidth="1"/>
    <col min="1053" max="1053" width="9" style="52" customWidth="1"/>
    <col min="1054" max="1054" width="9.81640625" style="52"/>
    <col min="1055" max="1055" width="11" style="52" bestFit="1" customWidth="1"/>
    <col min="1056" max="1281" width="9.81640625" style="52"/>
    <col min="1282" max="1282" width="8.1796875" style="52" customWidth="1"/>
    <col min="1283" max="1283" width="0" style="52" hidden="1" customWidth="1"/>
    <col min="1284" max="1294" width="6.54296875" style="52" customWidth="1"/>
    <col min="1295" max="1295" width="6.453125" style="52" customWidth="1"/>
    <col min="1296" max="1296" width="7.453125" style="52" customWidth="1"/>
    <col min="1297" max="1297" width="6.54296875" style="52" customWidth="1"/>
    <col min="1298" max="1298" width="7.7265625" style="52" customWidth="1"/>
    <col min="1299" max="1308" width="6.54296875" style="52" customWidth="1"/>
    <col min="1309" max="1309" width="9" style="52" customWidth="1"/>
    <col min="1310" max="1310" width="9.81640625" style="52"/>
    <col min="1311" max="1311" width="11" style="52" bestFit="1" customWidth="1"/>
    <col min="1312" max="1537" width="9.81640625" style="52"/>
    <col min="1538" max="1538" width="8.1796875" style="52" customWidth="1"/>
    <col min="1539" max="1539" width="0" style="52" hidden="1" customWidth="1"/>
    <col min="1540" max="1550" width="6.54296875" style="52" customWidth="1"/>
    <col min="1551" max="1551" width="6.453125" style="52" customWidth="1"/>
    <col min="1552" max="1552" width="7.453125" style="52" customWidth="1"/>
    <col min="1553" max="1553" width="6.54296875" style="52" customWidth="1"/>
    <col min="1554" max="1554" width="7.7265625" style="52" customWidth="1"/>
    <col min="1555" max="1564" width="6.54296875" style="52" customWidth="1"/>
    <col min="1565" max="1565" width="9" style="52" customWidth="1"/>
    <col min="1566" max="1566" width="9.81640625" style="52"/>
    <col min="1567" max="1567" width="11" style="52" bestFit="1" customWidth="1"/>
    <col min="1568" max="1793" width="9.81640625" style="52"/>
    <col min="1794" max="1794" width="8.1796875" style="52" customWidth="1"/>
    <col min="1795" max="1795" width="0" style="52" hidden="1" customWidth="1"/>
    <col min="1796" max="1806" width="6.54296875" style="52" customWidth="1"/>
    <col min="1807" max="1807" width="6.453125" style="52" customWidth="1"/>
    <col min="1808" max="1808" width="7.453125" style="52" customWidth="1"/>
    <col min="1809" max="1809" width="6.54296875" style="52" customWidth="1"/>
    <col min="1810" max="1810" width="7.7265625" style="52" customWidth="1"/>
    <col min="1811" max="1820" width="6.54296875" style="52" customWidth="1"/>
    <col min="1821" max="1821" width="9" style="52" customWidth="1"/>
    <col min="1822" max="1822" width="9.81640625" style="52"/>
    <col min="1823" max="1823" width="11" style="52" bestFit="1" customWidth="1"/>
    <col min="1824" max="2049" width="9.81640625" style="52"/>
    <col min="2050" max="2050" width="8.1796875" style="52" customWidth="1"/>
    <col min="2051" max="2051" width="0" style="52" hidden="1" customWidth="1"/>
    <col min="2052" max="2062" width="6.54296875" style="52" customWidth="1"/>
    <col min="2063" max="2063" width="6.453125" style="52" customWidth="1"/>
    <col min="2064" max="2064" width="7.453125" style="52" customWidth="1"/>
    <col min="2065" max="2065" width="6.54296875" style="52" customWidth="1"/>
    <col min="2066" max="2066" width="7.7265625" style="52" customWidth="1"/>
    <col min="2067" max="2076" width="6.54296875" style="52" customWidth="1"/>
    <col min="2077" max="2077" width="9" style="52" customWidth="1"/>
    <col min="2078" max="2078" width="9.81640625" style="52"/>
    <col min="2079" max="2079" width="11" style="52" bestFit="1" customWidth="1"/>
    <col min="2080" max="2305" width="9.81640625" style="52"/>
    <col min="2306" max="2306" width="8.1796875" style="52" customWidth="1"/>
    <col min="2307" max="2307" width="0" style="52" hidden="1" customWidth="1"/>
    <col min="2308" max="2318" width="6.54296875" style="52" customWidth="1"/>
    <col min="2319" max="2319" width="6.453125" style="52" customWidth="1"/>
    <col min="2320" max="2320" width="7.453125" style="52" customWidth="1"/>
    <col min="2321" max="2321" width="6.54296875" style="52" customWidth="1"/>
    <col min="2322" max="2322" width="7.7265625" style="52" customWidth="1"/>
    <col min="2323" max="2332" width="6.54296875" style="52" customWidth="1"/>
    <col min="2333" max="2333" width="9" style="52" customWidth="1"/>
    <col min="2334" max="2334" width="9.81640625" style="52"/>
    <col min="2335" max="2335" width="11" style="52" bestFit="1" customWidth="1"/>
    <col min="2336" max="2561" width="9.81640625" style="52"/>
    <col min="2562" max="2562" width="8.1796875" style="52" customWidth="1"/>
    <col min="2563" max="2563" width="0" style="52" hidden="1" customWidth="1"/>
    <col min="2564" max="2574" width="6.54296875" style="52" customWidth="1"/>
    <col min="2575" max="2575" width="6.453125" style="52" customWidth="1"/>
    <col min="2576" max="2576" width="7.453125" style="52" customWidth="1"/>
    <col min="2577" max="2577" width="6.54296875" style="52" customWidth="1"/>
    <col min="2578" max="2578" width="7.7265625" style="52" customWidth="1"/>
    <col min="2579" max="2588" width="6.54296875" style="52" customWidth="1"/>
    <col min="2589" max="2589" width="9" style="52" customWidth="1"/>
    <col min="2590" max="2590" width="9.81640625" style="52"/>
    <col min="2591" max="2591" width="11" style="52" bestFit="1" customWidth="1"/>
    <col min="2592" max="2817" width="9.81640625" style="52"/>
    <col min="2818" max="2818" width="8.1796875" style="52" customWidth="1"/>
    <col min="2819" max="2819" width="0" style="52" hidden="1" customWidth="1"/>
    <col min="2820" max="2830" width="6.54296875" style="52" customWidth="1"/>
    <col min="2831" max="2831" width="6.453125" style="52" customWidth="1"/>
    <col min="2832" max="2832" width="7.453125" style="52" customWidth="1"/>
    <col min="2833" max="2833" width="6.54296875" style="52" customWidth="1"/>
    <col min="2834" max="2834" width="7.7265625" style="52" customWidth="1"/>
    <col min="2835" max="2844" width="6.54296875" style="52" customWidth="1"/>
    <col min="2845" max="2845" width="9" style="52" customWidth="1"/>
    <col min="2846" max="2846" width="9.81640625" style="52"/>
    <col min="2847" max="2847" width="11" style="52" bestFit="1" customWidth="1"/>
    <col min="2848" max="3073" width="9.81640625" style="52"/>
    <col min="3074" max="3074" width="8.1796875" style="52" customWidth="1"/>
    <col min="3075" max="3075" width="0" style="52" hidden="1" customWidth="1"/>
    <col min="3076" max="3086" width="6.54296875" style="52" customWidth="1"/>
    <col min="3087" max="3087" width="6.453125" style="52" customWidth="1"/>
    <col min="3088" max="3088" width="7.453125" style="52" customWidth="1"/>
    <col min="3089" max="3089" width="6.54296875" style="52" customWidth="1"/>
    <col min="3090" max="3090" width="7.7265625" style="52" customWidth="1"/>
    <col min="3091" max="3100" width="6.54296875" style="52" customWidth="1"/>
    <col min="3101" max="3101" width="9" style="52" customWidth="1"/>
    <col min="3102" max="3102" width="9.81640625" style="52"/>
    <col min="3103" max="3103" width="11" style="52" bestFit="1" customWidth="1"/>
    <col min="3104" max="3329" width="9.81640625" style="52"/>
    <col min="3330" max="3330" width="8.1796875" style="52" customWidth="1"/>
    <col min="3331" max="3331" width="0" style="52" hidden="1" customWidth="1"/>
    <col min="3332" max="3342" width="6.54296875" style="52" customWidth="1"/>
    <col min="3343" max="3343" width="6.453125" style="52" customWidth="1"/>
    <col min="3344" max="3344" width="7.453125" style="52" customWidth="1"/>
    <col min="3345" max="3345" width="6.54296875" style="52" customWidth="1"/>
    <col min="3346" max="3346" width="7.7265625" style="52" customWidth="1"/>
    <col min="3347" max="3356" width="6.54296875" style="52" customWidth="1"/>
    <col min="3357" max="3357" width="9" style="52" customWidth="1"/>
    <col min="3358" max="3358" width="9.81640625" style="52"/>
    <col min="3359" max="3359" width="11" style="52" bestFit="1" customWidth="1"/>
    <col min="3360" max="3585" width="9.81640625" style="52"/>
    <col min="3586" max="3586" width="8.1796875" style="52" customWidth="1"/>
    <col min="3587" max="3587" width="0" style="52" hidden="1" customWidth="1"/>
    <col min="3588" max="3598" width="6.54296875" style="52" customWidth="1"/>
    <col min="3599" max="3599" width="6.453125" style="52" customWidth="1"/>
    <col min="3600" max="3600" width="7.453125" style="52" customWidth="1"/>
    <col min="3601" max="3601" width="6.54296875" style="52" customWidth="1"/>
    <col min="3602" max="3602" width="7.7265625" style="52" customWidth="1"/>
    <col min="3603" max="3612" width="6.54296875" style="52" customWidth="1"/>
    <col min="3613" max="3613" width="9" style="52" customWidth="1"/>
    <col min="3614" max="3614" width="9.81640625" style="52"/>
    <col min="3615" max="3615" width="11" style="52" bestFit="1" customWidth="1"/>
    <col min="3616" max="3841" width="9.81640625" style="52"/>
    <col min="3842" max="3842" width="8.1796875" style="52" customWidth="1"/>
    <col min="3843" max="3843" width="0" style="52" hidden="1" customWidth="1"/>
    <col min="3844" max="3854" width="6.54296875" style="52" customWidth="1"/>
    <col min="3855" max="3855" width="6.453125" style="52" customWidth="1"/>
    <col min="3856" max="3856" width="7.453125" style="52" customWidth="1"/>
    <col min="3857" max="3857" width="6.54296875" style="52" customWidth="1"/>
    <col min="3858" max="3858" width="7.7265625" style="52" customWidth="1"/>
    <col min="3859" max="3868" width="6.54296875" style="52" customWidth="1"/>
    <col min="3869" max="3869" width="9" style="52" customWidth="1"/>
    <col min="3870" max="3870" width="9.81640625" style="52"/>
    <col min="3871" max="3871" width="11" style="52" bestFit="1" customWidth="1"/>
    <col min="3872" max="4097" width="9.81640625" style="52"/>
    <col min="4098" max="4098" width="8.1796875" style="52" customWidth="1"/>
    <col min="4099" max="4099" width="0" style="52" hidden="1" customWidth="1"/>
    <col min="4100" max="4110" width="6.54296875" style="52" customWidth="1"/>
    <col min="4111" max="4111" width="6.453125" style="52" customWidth="1"/>
    <col min="4112" max="4112" width="7.453125" style="52" customWidth="1"/>
    <col min="4113" max="4113" width="6.54296875" style="52" customWidth="1"/>
    <col min="4114" max="4114" width="7.7265625" style="52" customWidth="1"/>
    <col min="4115" max="4124" width="6.54296875" style="52" customWidth="1"/>
    <col min="4125" max="4125" width="9" style="52" customWidth="1"/>
    <col min="4126" max="4126" width="9.81640625" style="52"/>
    <col min="4127" max="4127" width="11" style="52" bestFit="1" customWidth="1"/>
    <col min="4128" max="4353" width="9.81640625" style="52"/>
    <col min="4354" max="4354" width="8.1796875" style="52" customWidth="1"/>
    <col min="4355" max="4355" width="0" style="52" hidden="1" customWidth="1"/>
    <col min="4356" max="4366" width="6.54296875" style="52" customWidth="1"/>
    <col min="4367" max="4367" width="6.453125" style="52" customWidth="1"/>
    <col min="4368" max="4368" width="7.453125" style="52" customWidth="1"/>
    <col min="4369" max="4369" width="6.54296875" style="52" customWidth="1"/>
    <col min="4370" max="4370" width="7.7265625" style="52" customWidth="1"/>
    <col min="4371" max="4380" width="6.54296875" style="52" customWidth="1"/>
    <col min="4381" max="4381" width="9" style="52" customWidth="1"/>
    <col min="4382" max="4382" width="9.81640625" style="52"/>
    <col min="4383" max="4383" width="11" style="52" bestFit="1" customWidth="1"/>
    <col min="4384" max="4609" width="9.81640625" style="52"/>
    <col min="4610" max="4610" width="8.1796875" style="52" customWidth="1"/>
    <col min="4611" max="4611" width="0" style="52" hidden="1" customWidth="1"/>
    <col min="4612" max="4622" width="6.54296875" style="52" customWidth="1"/>
    <col min="4623" max="4623" width="6.453125" style="52" customWidth="1"/>
    <col min="4624" max="4624" width="7.453125" style="52" customWidth="1"/>
    <col min="4625" max="4625" width="6.54296875" style="52" customWidth="1"/>
    <col min="4626" max="4626" width="7.7265625" style="52" customWidth="1"/>
    <col min="4627" max="4636" width="6.54296875" style="52" customWidth="1"/>
    <col min="4637" max="4637" width="9" style="52" customWidth="1"/>
    <col min="4638" max="4638" width="9.81640625" style="52"/>
    <col min="4639" max="4639" width="11" style="52" bestFit="1" customWidth="1"/>
    <col min="4640" max="4865" width="9.81640625" style="52"/>
    <col min="4866" max="4866" width="8.1796875" style="52" customWidth="1"/>
    <col min="4867" max="4867" width="0" style="52" hidden="1" customWidth="1"/>
    <col min="4868" max="4878" width="6.54296875" style="52" customWidth="1"/>
    <col min="4879" max="4879" width="6.453125" style="52" customWidth="1"/>
    <col min="4880" max="4880" width="7.453125" style="52" customWidth="1"/>
    <col min="4881" max="4881" width="6.54296875" style="52" customWidth="1"/>
    <col min="4882" max="4882" width="7.7265625" style="52" customWidth="1"/>
    <col min="4883" max="4892" width="6.54296875" style="52" customWidth="1"/>
    <col min="4893" max="4893" width="9" style="52" customWidth="1"/>
    <col min="4894" max="4894" width="9.81640625" style="52"/>
    <col min="4895" max="4895" width="11" style="52" bestFit="1" customWidth="1"/>
    <col min="4896" max="5121" width="9.81640625" style="52"/>
    <col min="5122" max="5122" width="8.1796875" style="52" customWidth="1"/>
    <col min="5123" max="5123" width="0" style="52" hidden="1" customWidth="1"/>
    <col min="5124" max="5134" width="6.54296875" style="52" customWidth="1"/>
    <col min="5135" max="5135" width="6.453125" style="52" customWidth="1"/>
    <col min="5136" max="5136" width="7.453125" style="52" customWidth="1"/>
    <col min="5137" max="5137" width="6.54296875" style="52" customWidth="1"/>
    <col min="5138" max="5138" width="7.7265625" style="52" customWidth="1"/>
    <col min="5139" max="5148" width="6.54296875" style="52" customWidth="1"/>
    <col min="5149" max="5149" width="9" style="52" customWidth="1"/>
    <col min="5150" max="5150" width="9.81640625" style="52"/>
    <col min="5151" max="5151" width="11" style="52" bestFit="1" customWidth="1"/>
    <col min="5152" max="5377" width="9.81640625" style="52"/>
    <col min="5378" max="5378" width="8.1796875" style="52" customWidth="1"/>
    <col min="5379" max="5379" width="0" style="52" hidden="1" customWidth="1"/>
    <col min="5380" max="5390" width="6.54296875" style="52" customWidth="1"/>
    <col min="5391" max="5391" width="6.453125" style="52" customWidth="1"/>
    <col min="5392" max="5392" width="7.453125" style="52" customWidth="1"/>
    <col min="5393" max="5393" width="6.54296875" style="52" customWidth="1"/>
    <col min="5394" max="5394" width="7.7265625" style="52" customWidth="1"/>
    <col min="5395" max="5404" width="6.54296875" style="52" customWidth="1"/>
    <col min="5405" max="5405" width="9" style="52" customWidth="1"/>
    <col min="5406" max="5406" width="9.81640625" style="52"/>
    <col min="5407" max="5407" width="11" style="52" bestFit="1" customWidth="1"/>
    <col min="5408" max="5633" width="9.81640625" style="52"/>
    <col min="5634" max="5634" width="8.1796875" style="52" customWidth="1"/>
    <col min="5635" max="5635" width="0" style="52" hidden="1" customWidth="1"/>
    <col min="5636" max="5646" width="6.54296875" style="52" customWidth="1"/>
    <col min="5647" max="5647" width="6.453125" style="52" customWidth="1"/>
    <col min="5648" max="5648" width="7.453125" style="52" customWidth="1"/>
    <col min="5649" max="5649" width="6.54296875" style="52" customWidth="1"/>
    <col min="5650" max="5650" width="7.7265625" style="52" customWidth="1"/>
    <col min="5651" max="5660" width="6.54296875" style="52" customWidth="1"/>
    <col min="5661" max="5661" width="9" style="52" customWidth="1"/>
    <col min="5662" max="5662" width="9.81640625" style="52"/>
    <col min="5663" max="5663" width="11" style="52" bestFit="1" customWidth="1"/>
    <col min="5664" max="5889" width="9.81640625" style="52"/>
    <col min="5890" max="5890" width="8.1796875" style="52" customWidth="1"/>
    <col min="5891" max="5891" width="0" style="52" hidden="1" customWidth="1"/>
    <col min="5892" max="5902" width="6.54296875" style="52" customWidth="1"/>
    <col min="5903" max="5903" width="6.453125" style="52" customWidth="1"/>
    <col min="5904" max="5904" width="7.453125" style="52" customWidth="1"/>
    <col min="5905" max="5905" width="6.54296875" style="52" customWidth="1"/>
    <col min="5906" max="5906" width="7.7265625" style="52" customWidth="1"/>
    <col min="5907" max="5916" width="6.54296875" style="52" customWidth="1"/>
    <col min="5917" max="5917" width="9" style="52" customWidth="1"/>
    <col min="5918" max="5918" width="9.81640625" style="52"/>
    <col min="5919" max="5919" width="11" style="52" bestFit="1" customWidth="1"/>
    <col min="5920" max="6145" width="9.81640625" style="52"/>
    <col min="6146" max="6146" width="8.1796875" style="52" customWidth="1"/>
    <col min="6147" max="6147" width="0" style="52" hidden="1" customWidth="1"/>
    <col min="6148" max="6158" width="6.54296875" style="52" customWidth="1"/>
    <col min="6159" max="6159" width="6.453125" style="52" customWidth="1"/>
    <col min="6160" max="6160" width="7.453125" style="52" customWidth="1"/>
    <col min="6161" max="6161" width="6.54296875" style="52" customWidth="1"/>
    <col min="6162" max="6162" width="7.7265625" style="52" customWidth="1"/>
    <col min="6163" max="6172" width="6.54296875" style="52" customWidth="1"/>
    <col min="6173" max="6173" width="9" style="52" customWidth="1"/>
    <col min="6174" max="6174" width="9.81640625" style="52"/>
    <col min="6175" max="6175" width="11" style="52" bestFit="1" customWidth="1"/>
    <col min="6176" max="6401" width="9.81640625" style="52"/>
    <col min="6402" max="6402" width="8.1796875" style="52" customWidth="1"/>
    <col min="6403" max="6403" width="0" style="52" hidden="1" customWidth="1"/>
    <col min="6404" max="6414" width="6.54296875" style="52" customWidth="1"/>
    <col min="6415" max="6415" width="6.453125" style="52" customWidth="1"/>
    <col min="6416" max="6416" width="7.453125" style="52" customWidth="1"/>
    <col min="6417" max="6417" width="6.54296875" style="52" customWidth="1"/>
    <col min="6418" max="6418" width="7.7265625" style="52" customWidth="1"/>
    <col min="6419" max="6428" width="6.54296875" style="52" customWidth="1"/>
    <col min="6429" max="6429" width="9" style="52" customWidth="1"/>
    <col min="6430" max="6430" width="9.81640625" style="52"/>
    <col min="6431" max="6431" width="11" style="52" bestFit="1" customWidth="1"/>
    <col min="6432" max="6657" width="9.81640625" style="52"/>
    <col min="6658" max="6658" width="8.1796875" style="52" customWidth="1"/>
    <col min="6659" max="6659" width="0" style="52" hidden="1" customWidth="1"/>
    <col min="6660" max="6670" width="6.54296875" style="52" customWidth="1"/>
    <col min="6671" max="6671" width="6.453125" style="52" customWidth="1"/>
    <col min="6672" max="6672" width="7.453125" style="52" customWidth="1"/>
    <col min="6673" max="6673" width="6.54296875" style="52" customWidth="1"/>
    <col min="6674" max="6674" width="7.7265625" style="52" customWidth="1"/>
    <col min="6675" max="6684" width="6.54296875" style="52" customWidth="1"/>
    <col min="6685" max="6685" width="9" style="52" customWidth="1"/>
    <col min="6686" max="6686" width="9.81640625" style="52"/>
    <col min="6687" max="6687" width="11" style="52" bestFit="1" customWidth="1"/>
    <col min="6688" max="6913" width="9.81640625" style="52"/>
    <col min="6914" max="6914" width="8.1796875" style="52" customWidth="1"/>
    <col min="6915" max="6915" width="0" style="52" hidden="1" customWidth="1"/>
    <col min="6916" max="6926" width="6.54296875" style="52" customWidth="1"/>
    <col min="6927" max="6927" width="6.453125" style="52" customWidth="1"/>
    <col min="6928" max="6928" width="7.453125" style="52" customWidth="1"/>
    <col min="6929" max="6929" width="6.54296875" style="52" customWidth="1"/>
    <col min="6930" max="6930" width="7.7265625" style="52" customWidth="1"/>
    <col min="6931" max="6940" width="6.54296875" style="52" customWidth="1"/>
    <col min="6941" max="6941" width="9" style="52" customWidth="1"/>
    <col min="6942" max="6942" width="9.81640625" style="52"/>
    <col min="6943" max="6943" width="11" style="52" bestFit="1" customWidth="1"/>
    <col min="6944" max="7169" width="9.81640625" style="52"/>
    <col min="7170" max="7170" width="8.1796875" style="52" customWidth="1"/>
    <col min="7171" max="7171" width="0" style="52" hidden="1" customWidth="1"/>
    <col min="7172" max="7182" width="6.54296875" style="52" customWidth="1"/>
    <col min="7183" max="7183" width="6.453125" style="52" customWidth="1"/>
    <col min="7184" max="7184" width="7.453125" style="52" customWidth="1"/>
    <col min="7185" max="7185" width="6.54296875" style="52" customWidth="1"/>
    <col min="7186" max="7186" width="7.7265625" style="52" customWidth="1"/>
    <col min="7187" max="7196" width="6.54296875" style="52" customWidth="1"/>
    <col min="7197" max="7197" width="9" style="52" customWidth="1"/>
    <col min="7198" max="7198" width="9.81640625" style="52"/>
    <col min="7199" max="7199" width="11" style="52" bestFit="1" customWidth="1"/>
    <col min="7200" max="7425" width="9.81640625" style="52"/>
    <col min="7426" max="7426" width="8.1796875" style="52" customWidth="1"/>
    <col min="7427" max="7427" width="0" style="52" hidden="1" customWidth="1"/>
    <col min="7428" max="7438" width="6.54296875" style="52" customWidth="1"/>
    <col min="7439" max="7439" width="6.453125" style="52" customWidth="1"/>
    <col min="7440" max="7440" width="7.453125" style="52" customWidth="1"/>
    <col min="7441" max="7441" width="6.54296875" style="52" customWidth="1"/>
    <col min="7442" max="7442" width="7.7265625" style="52" customWidth="1"/>
    <col min="7443" max="7452" width="6.54296875" style="52" customWidth="1"/>
    <col min="7453" max="7453" width="9" style="52" customWidth="1"/>
    <col min="7454" max="7454" width="9.81640625" style="52"/>
    <col min="7455" max="7455" width="11" style="52" bestFit="1" customWidth="1"/>
    <col min="7456" max="7681" width="9.81640625" style="52"/>
    <col min="7682" max="7682" width="8.1796875" style="52" customWidth="1"/>
    <col min="7683" max="7683" width="0" style="52" hidden="1" customWidth="1"/>
    <col min="7684" max="7694" width="6.54296875" style="52" customWidth="1"/>
    <col min="7695" max="7695" width="6.453125" style="52" customWidth="1"/>
    <col min="7696" max="7696" width="7.453125" style="52" customWidth="1"/>
    <col min="7697" max="7697" width="6.54296875" style="52" customWidth="1"/>
    <col min="7698" max="7698" width="7.7265625" style="52" customWidth="1"/>
    <col min="7699" max="7708" width="6.54296875" style="52" customWidth="1"/>
    <col min="7709" max="7709" width="9" style="52" customWidth="1"/>
    <col min="7710" max="7710" width="9.81640625" style="52"/>
    <col min="7711" max="7711" width="11" style="52" bestFit="1" customWidth="1"/>
    <col min="7712" max="7937" width="9.81640625" style="52"/>
    <col min="7938" max="7938" width="8.1796875" style="52" customWidth="1"/>
    <col min="7939" max="7939" width="0" style="52" hidden="1" customWidth="1"/>
    <col min="7940" max="7950" width="6.54296875" style="52" customWidth="1"/>
    <col min="7951" max="7951" width="6.453125" style="52" customWidth="1"/>
    <col min="7952" max="7952" width="7.453125" style="52" customWidth="1"/>
    <col min="7953" max="7953" width="6.54296875" style="52" customWidth="1"/>
    <col min="7954" max="7954" width="7.7265625" style="52" customWidth="1"/>
    <col min="7955" max="7964" width="6.54296875" style="52" customWidth="1"/>
    <col min="7965" max="7965" width="9" style="52" customWidth="1"/>
    <col min="7966" max="7966" width="9.81640625" style="52"/>
    <col min="7967" max="7967" width="11" style="52" bestFit="1" customWidth="1"/>
    <col min="7968" max="8193" width="9.81640625" style="52"/>
    <col min="8194" max="8194" width="8.1796875" style="52" customWidth="1"/>
    <col min="8195" max="8195" width="0" style="52" hidden="1" customWidth="1"/>
    <col min="8196" max="8206" width="6.54296875" style="52" customWidth="1"/>
    <col min="8207" max="8207" width="6.453125" style="52" customWidth="1"/>
    <col min="8208" max="8208" width="7.453125" style="52" customWidth="1"/>
    <col min="8209" max="8209" width="6.54296875" style="52" customWidth="1"/>
    <col min="8210" max="8210" width="7.7265625" style="52" customWidth="1"/>
    <col min="8211" max="8220" width="6.54296875" style="52" customWidth="1"/>
    <col min="8221" max="8221" width="9" style="52" customWidth="1"/>
    <col min="8222" max="8222" width="9.81640625" style="52"/>
    <col min="8223" max="8223" width="11" style="52" bestFit="1" customWidth="1"/>
    <col min="8224" max="8449" width="9.81640625" style="52"/>
    <col min="8450" max="8450" width="8.1796875" style="52" customWidth="1"/>
    <col min="8451" max="8451" width="0" style="52" hidden="1" customWidth="1"/>
    <col min="8452" max="8462" width="6.54296875" style="52" customWidth="1"/>
    <col min="8463" max="8463" width="6.453125" style="52" customWidth="1"/>
    <col min="8464" max="8464" width="7.453125" style="52" customWidth="1"/>
    <col min="8465" max="8465" width="6.54296875" style="52" customWidth="1"/>
    <col min="8466" max="8466" width="7.7265625" style="52" customWidth="1"/>
    <col min="8467" max="8476" width="6.54296875" style="52" customWidth="1"/>
    <col min="8477" max="8477" width="9" style="52" customWidth="1"/>
    <col min="8478" max="8478" width="9.81640625" style="52"/>
    <col min="8479" max="8479" width="11" style="52" bestFit="1" customWidth="1"/>
    <col min="8480" max="8705" width="9.81640625" style="52"/>
    <col min="8706" max="8706" width="8.1796875" style="52" customWidth="1"/>
    <col min="8707" max="8707" width="0" style="52" hidden="1" customWidth="1"/>
    <col min="8708" max="8718" width="6.54296875" style="52" customWidth="1"/>
    <col min="8719" max="8719" width="6.453125" style="52" customWidth="1"/>
    <col min="8720" max="8720" width="7.453125" style="52" customWidth="1"/>
    <col min="8721" max="8721" width="6.54296875" style="52" customWidth="1"/>
    <col min="8722" max="8722" width="7.7265625" style="52" customWidth="1"/>
    <col min="8723" max="8732" width="6.54296875" style="52" customWidth="1"/>
    <col min="8733" max="8733" width="9" style="52" customWidth="1"/>
    <col min="8734" max="8734" width="9.81640625" style="52"/>
    <col min="8735" max="8735" width="11" style="52" bestFit="1" customWidth="1"/>
    <col min="8736" max="8961" width="9.81640625" style="52"/>
    <col min="8962" max="8962" width="8.1796875" style="52" customWidth="1"/>
    <col min="8963" max="8963" width="0" style="52" hidden="1" customWidth="1"/>
    <col min="8964" max="8974" width="6.54296875" style="52" customWidth="1"/>
    <col min="8975" max="8975" width="6.453125" style="52" customWidth="1"/>
    <col min="8976" max="8976" width="7.453125" style="52" customWidth="1"/>
    <col min="8977" max="8977" width="6.54296875" style="52" customWidth="1"/>
    <col min="8978" max="8978" width="7.7265625" style="52" customWidth="1"/>
    <col min="8979" max="8988" width="6.54296875" style="52" customWidth="1"/>
    <col min="8989" max="8989" width="9" style="52" customWidth="1"/>
    <col min="8990" max="8990" width="9.81640625" style="52"/>
    <col min="8991" max="8991" width="11" style="52" bestFit="1" customWidth="1"/>
    <col min="8992" max="9217" width="9.81640625" style="52"/>
    <col min="9218" max="9218" width="8.1796875" style="52" customWidth="1"/>
    <col min="9219" max="9219" width="0" style="52" hidden="1" customWidth="1"/>
    <col min="9220" max="9230" width="6.54296875" style="52" customWidth="1"/>
    <col min="9231" max="9231" width="6.453125" style="52" customWidth="1"/>
    <col min="9232" max="9232" width="7.453125" style="52" customWidth="1"/>
    <col min="9233" max="9233" width="6.54296875" style="52" customWidth="1"/>
    <col min="9234" max="9234" width="7.7265625" style="52" customWidth="1"/>
    <col min="9235" max="9244" width="6.54296875" style="52" customWidth="1"/>
    <col min="9245" max="9245" width="9" style="52" customWidth="1"/>
    <col min="9246" max="9246" width="9.81640625" style="52"/>
    <col min="9247" max="9247" width="11" style="52" bestFit="1" customWidth="1"/>
    <col min="9248" max="9473" width="9.81640625" style="52"/>
    <col min="9474" max="9474" width="8.1796875" style="52" customWidth="1"/>
    <col min="9475" max="9475" width="0" style="52" hidden="1" customWidth="1"/>
    <col min="9476" max="9486" width="6.54296875" style="52" customWidth="1"/>
    <col min="9487" max="9487" width="6.453125" style="52" customWidth="1"/>
    <col min="9488" max="9488" width="7.453125" style="52" customWidth="1"/>
    <col min="9489" max="9489" width="6.54296875" style="52" customWidth="1"/>
    <col min="9490" max="9490" width="7.7265625" style="52" customWidth="1"/>
    <col min="9491" max="9500" width="6.54296875" style="52" customWidth="1"/>
    <col min="9501" max="9501" width="9" style="52" customWidth="1"/>
    <col min="9502" max="9502" width="9.81640625" style="52"/>
    <col min="9503" max="9503" width="11" style="52" bestFit="1" customWidth="1"/>
    <col min="9504" max="9729" width="9.81640625" style="52"/>
    <col min="9730" max="9730" width="8.1796875" style="52" customWidth="1"/>
    <col min="9731" max="9731" width="0" style="52" hidden="1" customWidth="1"/>
    <col min="9732" max="9742" width="6.54296875" style="52" customWidth="1"/>
    <col min="9743" max="9743" width="6.453125" style="52" customWidth="1"/>
    <col min="9744" max="9744" width="7.453125" style="52" customWidth="1"/>
    <col min="9745" max="9745" width="6.54296875" style="52" customWidth="1"/>
    <col min="9746" max="9746" width="7.7265625" style="52" customWidth="1"/>
    <col min="9747" max="9756" width="6.54296875" style="52" customWidth="1"/>
    <col min="9757" max="9757" width="9" style="52" customWidth="1"/>
    <col min="9758" max="9758" width="9.81640625" style="52"/>
    <col min="9759" max="9759" width="11" style="52" bestFit="1" customWidth="1"/>
    <col min="9760" max="9985" width="9.81640625" style="52"/>
    <col min="9986" max="9986" width="8.1796875" style="52" customWidth="1"/>
    <col min="9987" max="9987" width="0" style="52" hidden="1" customWidth="1"/>
    <col min="9988" max="9998" width="6.54296875" style="52" customWidth="1"/>
    <col min="9999" max="9999" width="6.453125" style="52" customWidth="1"/>
    <col min="10000" max="10000" width="7.453125" style="52" customWidth="1"/>
    <col min="10001" max="10001" width="6.54296875" style="52" customWidth="1"/>
    <col min="10002" max="10002" width="7.7265625" style="52" customWidth="1"/>
    <col min="10003" max="10012" width="6.54296875" style="52" customWidth="1"/>
    <col min="10013" max="10013" width="9" style="52" customWidth="1"/>
    <col min="10014" max="10014" width="9.81640625" style="52"/>
    <col min="10015" max="10015" width="11" style="52" bestFit="1" customWidth="1"/>
    <col min="10016" max="10241" width="9.81640625" style="52"/>
    <col min="10242" max="10242" width="8.1796875" style="52" customWidth="1"/>
    <col min="10243" max="10243" width="0" style="52" hidden="1" customWidth="1"/>
    <col min="10244" max="10254" width="6.54296875" style="52" customWidth="1"/>
    <col min="10255" max="10255" width="6.453125" style="52" customWidth="1"/>
    <col min="10256" max="10256" width="7.453125" style="52" customWidth="1"/>
    <col min="10257" max="10257" width="6.54296875" style="52" customWidth="1"/>
    <col min="10258" max="10258" width="7.7265625" style="52" customWidth="1"/>
    <col min="10259" max="10268" width="6.54296875" style="52" customWidth="1"/>
    <col min="10269" max="10269" width="9" style="52" customWidth="1"/>
    <col min="10270" max="10270" width="9.81640625" style="52"/>
    <col min="10271" max="10271" width="11" style="52" bestFit="1" customWidth="1"/>
    <col min="10272" max="10497" width="9.81640625" style="52"/>
    <col min="10498" max="10498" width="8.1796875" style="52" customWidth="1"/>
    <col min="10499" max="10499" width="0" style="52" hidden="1" customWidth="1"/>
    <col min="10500" max="10510" width="6.54296875" style="52" customWidth="1"/>
    <col min="10511" max="10511" width="6.453125" style="52" customWidth="1"/>
    <col min="10512" max="10512" width="7.453125" style="52" customWidth="1"/>
    <col min="10513" max="10513" width="6.54296875" style="52" customWidth="1"/>
    <col min="10514" max="10514" width="7.7265625" style="52" customWidth="1"/>
    <col min="10515" max="10524" width="6.54296875" style="52" customWidth="1"/>
    <col min="10525" max="10525" width="9" style="52" customWidth="1"/>
    <col min="10526" max="10526" width="9.81640625" style="52"/>
    <col min="10527" max="10527" width="11" style="52" bestFit="1" customWidth="1"/>
    <col min="10528" max="10753" width="9.81640625" style="52"/>
    <col min="10754" max="10754" width="8.1796875" style="52" customWidth="1"/>
    <col min="10755" max="10755" width="0" style="52" hidden="1" customWidth="1"/>
    <col min="10756" max="10766" width="6.54296875" style="52" customWidth="1"/>
    <col min="10767" max="10767" width="6.453125" style="52" customWidth="1"/>
    <col min="10768" max="10768" width="7.453125" style="52" customWidth="1"/>
    <col min="10769" max="10769" width="6.54296875" style="52" customWidth="1"/>
    <col min="10770" max="10770" width="7.7265625" style="52" customWidth="1"/>
    <col min="10771" max="10780" width="6.54296875" style="52" customWidth="1"/>
    <col min="10781" max="10781" width="9" style="52" customWidth="1"/>
    <col min="10782" max="10782" width="9.81640625" style="52"/>
    <col min="10783" max="10783" width="11" style="52" bestFit="1" customWidth="1"/>
    <col min="10784" max="11009" width="9.81640625" style="52"/>
    <col min="11010" max="11010" width="8.1796875" style="52" customWidth="1"/>
    <col min="11011" max="11011" width="0" style="52" hidden="1" customWidth="1"/>
    <col min="11012" max="11022" width="6.54296875" style="52" customWidth="1"/>
    <col min="11023" max="11023" width="6.453125" style="52" customWidth="1"/>
    <col min="11024" max="11024" width="7.453125" style="52" customWidth="1"/>
    <col min="11025" max="11025" width="6.54296875" style="52" customWidth="1"/>
    <col min="11026" max="11026" width="7.7265625" style="52" customWidth="1"/>
    <col min="11027" max="11036" width="6.54296875" style="52" customWidth="1"/>
    <col min="11037" max="11037" width="9" style="52" customWidth="1"/>
    <col min="11038" max="11038" width="9.81640625" style="52"/>
    <col min="11039" max="11039" width="11" style="52" bestFit="1" customWidth="1"/>
    <col min="11040" max="11265" width="9.81640625" style="52"/>
    <col min="11266" max="11266" width="8.1796875" style="52" customWidth="1"/>
    <col min="11267" max="11267" width="0" style="52" hidden="1" customWidth="1"/>
    <col min="11268" max="11278" width="6.54296875" style="52" customWidth="1"/>
    <col min="11279" max="11279" width="6.453125" style="52" customWidth="1"/>
    <col min="11280" max="11280" width="7.453125" style="52" customWidth="1"/>
    <col min="11281" max="11281" width="6.54296875" style="52" customWidth="1"/>
    <col min="11282" max="11282" width="7.7265625" style="52" customWidth="1"/>
    <col min="11283" max="11292" width="6.54296875" style="52" customWidth="1"/>
    <col min="11293" max="11293" width="9" style="52" customWidth="1"/>
    <col min="11294" max="11294" width="9.81640625" style="52"/>
    <col min="11295" max="11295" width="11" style="52" bestFit="1" customWidth="1"/>
    <col min="11296" max="11521" width="9.81640625" style="52"/>
    <col min="11522" max="11522" width="8.1796875" style="52" customWidth="1"/>
    <col min="11523" max="11523" width="0" style="52" hidden="1" customWidth="1"/>
    <col min="11524" max="11534" width="6.54296875" style="52" customWidth="1"/>
    <col min="11535" max="11535" width="6.453125" style="52" customWidth="1"/>
    <col min="11536" max="11536" width="7.453125" style="52" customWidth="1"/>
    <col min="11537" max="11537" width="6.54296875" style="52" customWidth="1"/>
    <col min="11538" max="11538" width="7.7265625" style="52" customWidth="1"/>
    <col min="11539" max="11548" width="6.54296875" style="52" customWidth="1"/>
    <col min="11549" max="11549" width="9" style="52" customWidth="1"/>
    <col min="11550" max="11550" width="9.81640625" style="52"/>
    <col min="11551" max="11551" width="11" style="52" bestFit="1" customWidth="1"/>
    <col min="11552" max="11777" width="9.81640625" style="52"/>
    <col min="11778" max="11778" width="8.1796875" style="52" customWidth="1"/>
    <col min="11779" max="11779" width="0" style="52" hidden="1" customWidth="1"/>
    <col min="11780" max="11790" width="6.54296875" style="52" customWidth="1"/>
    <col min="11791" max="11791" width="6.453125" style="52" customWidth="1"/>
    <col min="11792" max="11792" width="7.453125" style="52" customWidth="1"/>
    <col min="11793" max="11793" width="6.54296875" style="52" customWidth="1"/>
    <col min="11794" max="11794" width="7.7265625" style="52" customWidth="1"/>
    <col min="11795" max="11804" width="6.54296875" style="52" customWidth="1"/>
    <col min="11805" max="11805" width="9" style="52" customWidth="1"/>
    <col min="11806" max="11806" width="9.81640625" style="52"/>
    <col min="11807" max="11807" width="11" style="52" bestFit="1" customWidth="1"/>
    <col min="11808" max="12033" width="9.81640625" style="52"/>
    <col min="12034" max="12034" width="8.1796875" style="52" customWidth="1"/>
    <col min="12035" max="12035" width="0" style="52" hidden="1" customWidth="1"/>
    <col min="12036" max="12046" width="6.54296875" style="52" customWidth="1"/>
    <col min="12047" max="12047" width="6.453125" style="52" customWidth="1"/>
    <col min="12048" max="12048" width="7.453125" style="52" customWidth="1"/>
    <col min="12049" max="12049" width="6.54296875" style="52" customWidth="1"/>
    <col min="12050" max="12050" width="7.7265625" style="52" customWidth="1"/>
    <col min="12051" max="12060" width="6.54296875" style="52" customWidth="1"/>
    <col min="12061" max="12061" width="9" style="52" customWidth="1"/>
    <col min="12062" max="12062" width="9.81640625" style="52"/>
    <col min="12063" max="12063" width="11" style="52" bestFit="1" customWidth="1"/>
    <col min="12064" max="12289" width="9.81640625" style="52"/>
    <col min="12290" max="12290" width="8.1796875" style="52" customWidth="1"/>
    <col min="12291" max="12291" width="0" style="52" hidden="1" customWidth="1"/>
    <col min="12292" max="12302" width="6.54296875" style="52" customWidth="1"/>
    <col min="12303" max="12303" width="6.453125" style="52" customWidth="1"/>
    <col min="12304" max="12304" width="7.453125" style="52" customWidth="1"/>
    <col min="12305" max="12305" width="6.54296875" style="52" customWidth="1"/>
    <col min="12306" max="12306" width="7.7265625" style="52" customWidth="1"/>
    <col min="12307" max="12316" width="6.54296875" style="52" customWidth="1"/>
    <col min="12317" max="12317" width="9" style="52" customWidth="1"/>
    <col min="12318" max="12318" width="9.81640625" style="52"/>
    <col min="12319" max="12319" width="11" style="52" bestFit="1" customWidth="1"/>
    <col min="12320" max="12545" width="9.81640625" style="52"/>
    <col min="12546" max="12546" width="8.1796875" style="52" customWidth="1"/>
    <col min="12547" max="12547" width="0" style="52" hidden="1" customWidth="1"/>
    <col min="12548" max="12558" width="6.54296875" style="52" customWidth="1"/>
    <col min="12559" max="12559" width="6.453125" style="52" customWidth="1"/>
    <col min="12560" max="12560" width="7.453125" style="52" customWidth="1"/>
    <col min="12561" max="12561" width="6.54296875" style="52" customWidth="1"/>
    <col min="12562" max="12562" width="7.7265625" style="52" customWidth="1"/>
    <col min="12563" max="12572" width="6.54296875" style="52" customWidth="1"/>
    <col min="12573" max="12573" width="9" style="52" customWidth="1"/>
    <col min="12574" max="12574" width="9.81640625" style="52"/>
    <col min="12575" max="12575" width="11" style="52" bestFit="1" customWidth="1"/>
    <col min="12576" max="12801" width="9.81640625" style="52"/>
    <col min="12802" max="12802" width="8.1796875" style="52" customWidth="1"/>
    <col min="12803" max="12803" width="0" style="52" hidden="1" customWidth="1"/>
    <col min="12804" max="12814" width="6.54296875" style="52" customWidth="1"/>
    <col min="12815" max="12815" width="6.453125" style="52" customWidth="1"/>
    <col min="12816" max="12816" width="7.453125" style="52" customWidth="1"/>
    <col min="12817" max="12817" width="6.54296875" style="52" customWidth="1"/>
    <col min="12818" max="12818" width="7.7265625" style="52" customWidth="1"/>
    <col min="12819" max="12828" width="6.54296875" style="52" customWidth="1"/>
    <col min="12829" max="12829" width="9" style="52" customWidth="1"/>
    <col min="12830" max="12830" width="9.81640625" style="52"/>
    <col min="12831" max="12831" width="11" style="52" bestFit="1" customWidth="1"/>
    <col min="12832" max="13057" width="9.81640625" style="52"/>
    <col min="13058" max="13058" width="8.1796875" style="52" customWidth="1"/>
    <col min="13059" max="13059" width="0" style="52" hidden="1" customWidth="1"/>
    <col min="13060" max="13070" width="6.54296875" style="52" customWidth="1"/>
    <col min="13071" max="13071" width="6.453125" style="52" customWidth="1"/>
    <col min="13072" max="13072" width="7.453125" style="52" customWidth="1"/>
    <col min="13073" max="13073" width="6.54296875" style="52" customWidth="1"/>
    <col min="13074" max="13074" width="7.7265625" style="52" customWidth="1"/>
    <col min="13075" max="13084" width="6.54296875" style="52" customWidth="1"/>
    <col min="13085" max="13085" width="9" style="52" customWidth="1"/>
    <col min="13086" max="13086" width="9.81640625" style="52"/>
    <col min="13087" max="13087" width="11" style="52" bestFit="1" customWidth="1"/>
    <col min="13088" max="13313" width="9.81640625" style="52"/>
    <col min="13314" max="13314" width="8.1796875" style="52" customWidth="1"/>
    <col min="13315" max="13315" width="0" style="52" hidden="1" customWidth="1"/>
    <col min="13316" max="13326" width="6.54296875" style="52" customWidth="1"/>
    <col min="13327" max="13327" width="6.453125" style="52" customWidth="1"/>
    <col min="13328" max="13328" width="7.453125" style="52" customWidth="1"/>
    <col min="13329" max="13329" width="6.54296875" style="52" customWidth="1"/>
    <col min="13330" max="13330" width="7.7265625" style="52" customWidth="1"/>
    <col min="13331" max="13340" width="6.54296875" style="52" customWidth="1"/>
    <col min="13341" max="13341" width="9" style="52" customWidth="1"/>
    <col min="13342" max="13342" width="9.81640625" style="52"/>
    <col min="13343" max="13343" width="11" style="52" bestFit="1" customWidth="1"/>
    <col min="13344" max="13569" width="9.81640625" style="52"/>
    <col min="13570" max="13570" width="8.1796875" style="52" customWidth="1"/>
    <col min="13571" max="13571" width="0" style="52" hidden="1" customWidth="1"/>
    <col min="13572" max="13582" width="6.54296875" style="52" customWidth="1"/>
    <col min="13583" max="13583" width="6.453125" style="52" customWidth="1"/>
    <col min="13584" max="13584" width="7.453125" style="52" customWidth="1"/>
    <col min="13585" max="13585" width="6.54296875" style="52" customWidth="1"/>
    <col min="13586" max="13586" width="7.7265625" style="52" customWidth="1"/>
    <col min="13587" max="13596" width="6.54296875" style="52" customWidth="1"/>
    <col min="13597" max="13597" width="9" style="52" customWidth="1"/>
    <col min="13598" max="13598" width="9.81640625" style="52"/>
    <col min="13599" max="13599" width="11" style="52" bestFit="1" customWidth="1"/>
    <col min="13600" max="13825" width="9.81640625" style="52"/>
    <col min="13826" max="13826" width="8.1796875" style="52" customWidth="1"/>
    <col min="13827" max="13827" width="0" style="52" hidden="1" customWidth="1"/>
    <col min="13828" max="13838" width="6.54296875" style="52" customWidth="1"/>
    <col min="13839" max="13839" width="6.453125" style="52" customWidth="1"/>
    <col min="13840" max="13840" width="7.453125" style="52" customWidth="1"/>
    <col min="13841" max="13841" width="6.54296875" style="52" customWidth="1"/>
    <col min="13842" max="13842" width="7.7265625" style="52" customWidth="1"/>
    <col min="13843" max="13852" width="6.54296875" style="52" customWidth="1"/>
    <col min="13853" max="13853" width="9" style="52" customWidth="1"/>
    <col min="13854" max="13854" width="9.81640625" style="52"/>
    <col min="13855" max="13855" width="11" style="52" bestFit="1" customWidth="1"/>
    <col min="13856" max="14081" width="9.81640625" style="52"/>
    <col min="14082" max="14082" width="8.1796875" style="52" customWidth="1"/>
    <col min="14083" max="14083" width="0" style="52" hidden="1" customWidth="1"/>
    <col min="14084" max="14094" width="6.54296875" style="52" customWidth="1"/>
    <col min="14095" max="14095" width="6.453125" style="52" customWidth="1"/>
    <col min="14096" max="14096" width="7.453125" style="52" customWidth="1"/>
    <col min="14097" max="14097" width="6.54296875" style="52" customWidth="1"/>
    <col min="14098" max="14098" width="7.7265625" style="52" customWidth="1"/>
    <col min="14099" max="14108" width="6.54296875" style="52" customWidth="1"/>
    <col min="14109" max="14109" width="9" style="52" customWidth="1"/>
    <col min="14110" max="14110" width="9.81640625" style="52"/>
    <col min="14111" max="14111" width="11" style="52" bestFit="1" customWidth="1"/>
    <col min="14112" max="14337" width="9.81640625" style="52"/>
    <col min="14338" max="14338" width="8.1796875" style="52" customWidth="1"/>
    <col min="14339" max="14339" width="0" style="52" hidden="1" customWidth="1"/>
    <col min="14340" max="14350" width="6.54296875" style="52" customWidth="1"/>
    <col min="14351" max="14351" width="6.453125" style="52" customWidth="1"/>
    <col min="14352" max="14352" width="7.453125" style="52" customWidth="1"/>
    <col min="14353" max="14353" width="6.54296875" style="52" customWidth="1"/>
    <col min="14354" max="14354" width="7.7265625" style="52" customWidth="1"/>
    <col min="14355" max="14364" width="6.54296875" style="52" customWidth="1"/>
    <col min="14365" max="14365" width="9" style="52" customWidth="1"/>
    <col min="14366" max="14366" width="9.81640625" style="52"/>
    <col min="14367" max="14367" width="11" style="52" bestFit="1" customWidth="1"/>
    <col min="14368" max="14593" width="9.81640625" style="52"/>
    <col min="14594" max="14594" width="8.1796875" style="52" customWidth="1"/>
    <col min="14595" max="14595" width="0" style="52" hidden="1" customWidth="1"/>
    <col min="14596" max="14606" width="6.54296875" style="52" customWidth="1"/>
    <col min="14607" max="14607" width="6.453125" style="52" customWidth="1"/>
    <col min="14608" max="14608" width="7.453125" style="52" customWidth="1"/>
    <col min="14609" max="14609" width="6.54296875" style="52" customWidth="1"/>
    <col min="14610" max="14610" width="7.7265625" style="52" customWidth="1"/>
    <col min="14611" max="14620" width="6.54296875" style="52" customWidth="1"/>
    <col min="14621" max="14621" width="9" style="52" customWidth="1"/>
    <col min="14622" max="14622" width="9.81640625" style="52"/>
    <col min="14623" max="14623" width="11" style="52" bestFit="1" customWidth="1"/>
    <col min="14624" max="14849" width="9.81640625" style="52"/>
    <col min="14850" max="14850" width="8.1796875" style="52" customWidth="1"/>
    <col min="14851" max="14851" width="0" style="52" hidden="1" customWidth="1"/>
    <col min="14852" max="14862" width="6.54296875" style="52" customWidth="1"/>
    <col min="14863" max="14863" width="6.453125" style="52" customWidth="1"/>
    <col min="14864" max="14864" width="7.453125" style="52" customWidth="1"/>
    <col min="14865" max="14865" width="6.54296875" style="52" customWidth="1"/>
    <col min="14866" max="14866" width="7.7265625" style="52" customWidth="1"/>
    <col min="14867" max="14876" width="6.54296875" style="52" customWidth="1"/>
    <col min="14877" max="14877" width="9" style="52" customWidth="1"/>
    <col min="14878" max="14878" width="9.81640625" style="52"/>
    <col min="14879" max="14879" width="11" style="52" bestFit="1" customWidth="1"/>
    <col min="14880" max="15105" width="9.81640625" style="52"/>
    <col min="15106" max="15106" width="8.1796875" style="52" customWidth="1"/>
    <col min="15107" max="15107" width="0" style="52" hidden="1" customWidth="1"/>
    <col min="15108" max="15118" width="6.54296875" style="52" customWidth="1"/>
    <col min="15119" max="15119" width="6.453125" style="52" customWidth="1"/>
    <col min="15120" max="15120" width="7.453125" style="52" customWidth="1"/>
    <col min="15121" max="15121" width="6.54296875" style="52" customWidth="1"/>
    <col min="15122" max="15122" width="7.7265625" style="52" customWidth="1"/>
    <col min="15123" max="15132" width="6.54296875" style="52" customWidth="1"/>
    <col min="15133" max="15133" width="9" style="52" customWidth="1"/>
    <col min="15134" max="15134" width="9.81640625" style="52"/>
    <col min="15135" max="15135" width="11" style="52" bestFit="1" customWidth="1"/>
    <col min="15136" max="15361" width="9.81640625" style="52"/>
    <col min="15362" max="15362" width="8.1796875" style="52" customWidth="1"/>
    <col min="15363" max="15363" width="0" style="52" hidden="1" customWidth="1"/>
    <col min="15364" max="15374" width="6.54296875" style="52" customWidth="1"/>
    <col min="15375" max="15375" width="6.453125" style="52" customWidth="1"/>
    <col min="15376" max="15376" width="7.453125" style="52" customWidth="1"/>
    <col min="15377" max="15377" width="6.54296875" style="52" customWidth="1"/>
    <col min="15378" max="15378" width="7.7265625" style="52" customWidth="1"/>
    <col min="15379" max="15388" width="6.54296875" style="52" customWidth="1"/>
    <col min="15389" max="15389" width="9" style="52" customWidth="1"/>
    <col min="15390" max="15390" width="9.81640625" style="52"/>
    <col min="15391" max="15391" width="11" style="52" bestFit="1" customWidth="1"/>
    <col min="15392" max="15617" width="9.81640625" style="52"/>
    <col min="15618" max="15618" width="8.1796875" style="52" customWidth="1"/>
    <col min="15619" max="15619" width="0" style="52" hidden="1" customWidth="1"/>
    <col min="15620" max="15630" width="6.54296875" style="52" customWidth="1"/>
    <col min="15631" max="15631" width="6.453125" style="52" customWidth="1"/>
    <col min="15632" max="15632" width="7.453125" style="52" customWidth="1"/>
    <col min="15633" max="15633" width="6.54296875" style="52" customWidth="1"/>
    <col min="15634" max="15634" width="7.7265625" style="52" customWidth="1"/>
    <col min="15635" max="15644" width="6.54296875" style="52" customWidth="1"/>
    <col min="15645" max="15645" width="9" style="52" customWidth="1"/>
    <col min="15646" max="15646" width="9.81640625" style="52"/>
    <col min="15647" max="15647" width="11" style="52" bestFit="1" customWidth="1"/>
    <col min="15648" max="15873" width="9.81640625" style="52"/>
    <col min="15874" max="15874" width="8.1796875" style="52" customWidth="1"/>
    <col min="15875" max="15875" width="0" style="52" hidden="1" customWidth="1"/>
    <col min="15876" max="15886" width="6.54296875" style="52" customWidth="1"/>
    <col min="15887" max="15887" width="6.453125" style="52" customWidth="1"/>
    <col min="15888" max="15888" width="7.453125" style="52" customWidth="1"/>
    <col min="15889" max="15889" width="6.54296875" style="52" customWidth="1"/>
    <col min="15890" max="15890" width="7.7265625" style="52" customWidth="1"/>
    <col min="15891" max="15900" width="6.54296875" style="52" customWidth="1"/>
    <col min="15901" max="15901" width="9" style="52" customWidth="1"/>
    <col min="15902" max="15902" width="9.81640625" style="52"/>
    <col min="15903" max="15903" width="11" style="52" bestFit="1" customWidth="1"/>
    <col min="15904" max="16129" width="9.81640625" style="52"/>
    <col min="16130" max="16130" width="8.1796875" style="52" customWidth="1"/>
    <col min="16131" max="16131" width="0" style="52" hidden="1" customWidth="1"/>
    <col min="16132" max="16142" width="6.54296875" style="52" customWidth="1"/>
    <col min="16143" max="16143" width="6.453125" style="52" customWidth="1"/>
    <col min="16144" max="16144" width="7.453125" style="52" customWidth="1"/>
    <col min="16145" max="16145" width="6.54296875" style="52" customWidth="1"/>
    <col min="16146" max="16146" width="7.7265625" style="52" customWidth="1"/>
    <col min="16147" max="16156" width="6.54296875" style="52" customWidth="1"/>
    <col min="16157" max="16157" width="9" style="52" customWidth="1"/>
    <col min="16158" max="16158" width="9.81640625" style="52"/>
    <col min="16159" max="16159" width="11" style="52" bestFit="1" customWidth="1"/>
    <col min="16160" max="16384" width="9.81640625" style="52"/>
  </cols>
  <sheetData>
    <row r="4" spans="2:28" ht="14" thickBot="1" x14ac:dyDescent="0.4">
      <c r="B4" s="51" t="s">
        <v>2</v>
      </c>
      <c r="P4" s="51" t="s">
        <v>2</v>
      </c>
    </row>
    <row r="5" spans="2:28" x14ac:dyDescent="0.35">
      <c r="B5" s="51"/>
      <c r="C5" s="53">
        <v>2009</v>
      </c>
      <c r="D5" s="53"/>
      <c r="E5" s="53"/>
      <c r="F5" s="53"/>
      <c r="G5" s="53"/>
      <c r="H5" s="54">
        <v>2010</v>
      </c>
      <c r="I5" s="53"/>
      <c r="J5" s="53"/>
      <c r="K5" s="53"/>
      <c r="L5" s="53"/>
      <c r="M5" s="53"/>
      <c r="N5" s="55"/>
      <c r="O5" s="55"/>
      <c r="Q5" s="54">
        <v>2009</v>
      </c>
      <c r="R5" s="54"/>
      <c r="S5" s="54"/>
      <c r="T5" s="54"/>
      <c r="U5" s="54"/>
      <c r="V5" s="54"/>
      <c r="W5" s="54">
        <v>2010</v>
      </c>
      <c r="X5" s="54"/>
      <c r="Y5" s="54"/>
      <c r="Z5" s="54"/>
      <c r="AA5" s="54"/>
      <c r="AB5" s="54"/>
    </row>
    <row r="6" spans="2:28" x14ac:dyDescent="0.35">
      <c r="B6" s="51"/>
      <c r="C6" s="56" t="s">
        <v>12</v>
      </c>
      <c r="D6" s="56" t="s">
        <v>16</v>
      </c>
      <c r="E6" s="56" t="s">
        <v>4</v>
      </c>
      <c r="F6" s="56" t="s">
        <v>5</v>
      </c>
      <c r="G6" s="56" t="s">
        <v>6</v>
      </c>
      <c r="H6" s="56" t="s">
        <v>17</v>
      </c>
      <c r="I6" s="56" t="s">
        <v>8</v>
      </c>
      <c r="J6" s="56" t="s">
        <v>18</v>
      </c>
      <c r="K6" s="56" t="s">
        <v>10</v>
      </c>
      <c r="L6" s="56" t="s">
        <v>11</v>
      </c>
      <c r="M6" s="56" t="s">
        <v>12</v>
      </c>
      <c r="N6" s="56" t="s">
        <v>25</v>
      </c>
      <c r="O6" s="56"/>
      <c r="P6" s="57"/>
      <c r="Q6" s="56" t="s">
        <v>13</v>
      </c>
      <c r="R6" s="56" t="s">
        <v>14</v>
      </c>
      <c r="S6" s="56" t="s">
        <v>16</v>
      </c>
      <c r="T6" s="56" t="s">
        <v>4</v>
      </c>
      <c r="U6" s="56" t="s">
        <v>5</v>
      </c>
      <c r="V6" s="56" t="s">
        <v>6</v>
      </c>
      <c r="W6" s="56" t="s">
        <v>17</v>
      </c>
      <c r="X6" s="56" t="s">
        <v>8</v>
      </c>
      <c r="Y6" s="56" t="s">
        <v>18</v>
      </c>
      <c r="Z6" s="56" t="s">
        <v>10</v>
      </c>
      <c r="AA6" s="56" t="s">
        <v>11</v>
      </c>
      <c r="AB6" s="56" t="s">
        <v>12</v>
      </c>
    </row>
    <row r="7" spans="2:28" ht="9" customHeight="1" x14ac:dyDescent="0.35">
      <c r="B7" s="51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2:28" x14ac:dyDescent="0.35">
      <c r="B8" s="51" t="s">
        <v>28</v>
      </c>
      <c r="C8" s="59">
        <v>2907</v>
      </c>
      <c r="D8" s="59">
        <v>2829</v>
      </c>
      <c r="E8" s="59">
        <v>2917</v>
      </c>
      <c r="F8" s="59">
        <v>2910</v>
      </c>
      <c r="G8" s="59">
        <v>2755</v>
      </c>
      <c r="H8" s="59">
        <v>2927</v>
      </c>
      <c r="I8" s="59">
        <v>2924</v>
      </c>
      <c r="J8" s="59">
        <v>2896</v>
      </c>
      <c r="K8" s="59">
        <v>2793</v>
      </c>
      <c r="L8" s="59">
        <v>2653</v>
      </c>
      <c r="M8" s="59">
        <v>2556</v>
      </c>
      <c r="N8" s="59">
        <f>SUM(D8:M8)/12</f>
        <v>2346.6666666666665</v>
      </c>
      <c r="O8" s="59"/>
      <c r="P8" s="51" t="s">
        <v>29</v>
      </c>
      <c r="Q8" s="58" t="e">
        <f>(#REF!-C8)/C8</f>
        <v>#REF!</v>
      </c>
      <c r="R8" s="58" t="e">
        <f>(#REF!-#REF!)/#REF!</f>
        <v>#REF!</v>
      </c>
      <c r="S8" s="58" t="e">
        <f>(D8-#REF!)/#REF!</f>
        <v>#REF!</v>
      </c>
      <c r="T8" s="58" t="e">
        <f>#N/A</f>
        <v>#N/A</v>
      </c>
      <c r="U8" s="58" t="e">
        <f>#N/A</f>
        <v>#N/A</v>
      </c>
      <c r="V8" s="58" t="e">
        <f>#N/A</f>
        <v>#N/A</v>
      </c>
      <c r="W8" s="58" t="e">
        <f>#N/A</f>
        <v>#N/A</v>
      </c>
      <c r="X8" s="58" t="e">
        <f>#N/A</f>
        <v>#N/A</v>
      </c>
      <c r="Y8" s="58" t="e">
        <f>#N/A</f>
        <v>#N/A</v>
      </c>
      <c r="Z8" s="58" t="e">
        <f>#N/A</f>
        <v>#N/A</v>
      </c>
      <c r="AA8" s="58" t="e">
        <f>#N/A</f>
        <v>#N/A</v>
      </c>
      <c r="AB8" s="58" t="e">
        <f>#N/A</f>
        <v>#N/A</v>
      </c>
    </row>
    <row r="9" spans="2:28" x14ac:dyDescent="0.35">
      <c r="B9" s="51" t="s">
        <v>32</v>
      </c>
      <c r="C9" s="59">
        <v>574</v>
      </c>
      <c r="D9" s="59">
        <v>523</v>
      </c>
      <c r="E9" s="59">
        <v>514</v>
      </c>
      <c r="F9" s="59">
        <v>483</v>
      </c>
      <c r="G9" s="59">
        <v>438</v>
      </c>
      <c r="H9" s="59">
        <v>471</v>
      </c>
      <c r="I9" s="59">
        <v>588</v>
      </c>
      <c r="J9" s="59">
        <v>600</v>
      </c>
      <c r="K9" s="59">
        <v>661</v>
      </c>
      <c r="L9" s="59">
        <v>623</v>
      </c>
      <c r="M9" s="59">
        <v>542</v>
      </c>
      <c r="N9" s="59">
        <f>SUM(D9:M9)/12</f>
        <v>453.58333333333331</v>
      </c>
      <c r="O9" s="59"/>
      <c r="P9" s="51" t="s">
        <v>32</v>
      </c>
      <c r="Q9" s="58" t="e">
        <f>(#REF!-C9)/C9</f>
        <v>#REF!</v>
      </c>
      <c r="R9" s="58" t="e">
        <f>(#REF!-#REF!)/#REF!</f>
        <v>#REF!</v>
      </c>
      <c r="S9" s="58" t="e">
        <f>(D9-#REF!)/#REF!</f>
        <v>#REF!</v>
      </c>
      <c r="T9" s="58" t="e">
        <f>#N/A</f>
        <v>#N/A</v>
      </c>
      <c r="U9" s="58" t="e">
        <f>#N/A</f>
        <v>#N/A</v>
      </c>
      <c r="V9" s="58" t="e">
        <f>#N/A</f>
        <v>#N/A</v>
      </c>
      <c r="W9" s="58" t="e">
        <f>#N/A</f>
        <v>#N/A</v>
      </c>
      <c r="X9" s="58" t="e">
        <f>#N/A</f>
        <v>#N/A</v>
      </c>
      <c r="Y9" s="58" t="e">
        <f>#N/A</f>
        <v>#N/A</v>
      </c>
      <c r="Z9" s="58" t="e">
        <f>#N/A</f>
        <v>#N/A</v>
      </c>
      <c r="AA9" s="58" t="e">
        <f>#N/A</f>
        <v>#N/A</v>
      </c>
      <c r="AB9" s="58" t="e">
        <f>#N/A</f>
        <v>#N/A</v>
      </c>
    </row>
    <row r="10" spans="2:28" x14ac:dyDescent="0.35">
      <c r="B10" s="51" t="s">
        <v>33</v>
      </c>
      <c r="C10" s="59">
        <v>429</v>
      </c>
      <c r="D10" s="59">
        <v>351</v>
      </c>
      <c r="E10" s="59">
        <v>351</v>
      </c>
      <c r="F10" s="59">
        <v>345</v>
      </c>
      <c r="G10" s="59">
        <v>364</v>
      </c>
      <c r="H10" s="59">
        <v>267</v>
      </c>
      <c r="I10" s="59">
        <v>301</v>
      </c>
      <c r="J10" s="59">
        <v>442</v>
      </c>
      <c r="K10" s="59">
        <v>422</v>
      </c>
      <c r="L10" s="59">
        <v>437</v>
      </c>
      <c r="M10" s="59">
        <v>449</v>
      </c>
      <c r="N10" s="59">
        <f>SUM(D10:M10)/12</f>
        <v>310.75</v>
      </c>
      <c r="O10" s="59"/>
      <c r="P10" s="51" t="s">
        <v>33</v>
      </c>
      <c r="Q10" s="58" t="e">
        <f>(#REF!-C10)/C10</f>
        <v>#REF!</v>
      </c>
      <c r="R10" s="58" t="e">
        <f>(#REF!-#REF!)/#REF!</f>
        <v>#REF!</v>
      </c>
      <c r="S10" s="58" t="e">
        <f>(D10-#REF!)/#REF!</f>
        <v>#REF!</v>
      </c>
      <c r="T10" s="58" t="e">
        <f>#N/A</f>
        <v>#N/A</v>
      </c>
      <c r="U10" s="58" t="e">
        <f>#N/A</f>
        <v>#N/A</v>
      </c>
      <c r="V10" s="58" t="e">
        <f>#N/A</f>
        <v>#N/A</v>
      </c>
      <c r="W10" s="58" t="e">
        <f>#N/A</f>
        <v>#N/A</v>
      </c>
      <c r="X10" s="58" t="e">
        <f>#N/A</f>
        <v>#N/A</v>
      </c>
      <c r="Y10" s="58" t="e">
        <f>#N/A</f>
        <v>#N/A</v>
      </c>
      <c r="Z10" s="58" t="e">
        <f>#N/A</f>
        <v>#N/A</v>
      </c>
      <c r="AA10" s="58" t="e">
        <f>#N/A</f>
        <v>#N/A</v>
      </c>
      <c r="AB10" s="58" t="e">
        <f>#N/A</f>
        <v>#N/A</v>
      </c>
    </row>
    <row r="12" spans="2:28" x14ac:dyDescent="0.35">
      <c r="P12" s="51" t="s">
        <v>35</v>
      </c>
    </row>
    <row r="13" spans="2:28" x14ac:dyDescent="0.35">
      <c r="P13" s="53">
        <v>2009</v>
      </c>
      <c r="Q13" s="53"/>
      <c r="R13" s="53"/>
      <c r="S13" s="53"/>
      <c r="T13" s="53"/>
      <c r="U13" s="53"/>
      <c r="V13" s="54">
        <v>2010</v>
      </c>
      <c r="W13" s="53"/>
      <c r="X13" s="53"/>
      <c r="Y13" s="53"/>
      <c r="Z13" s="53"/>
      <c r="AA13" s="60"/>
    </row>
    <row r="14" spans="2:28" x14ac:dyDescent="0.35">
      <c r="P14" s="56" t="s">
        <v>13</v>
      </c>
      <c r="Q14" s="56" t="s">
        <v>14</v>
      </c>
      <c r="R14" s="56" t="s">
        <v>16</v>
      </c>
      <c r="S14" s="56" t="s">
        <v>4</v>
      </c>
      <c r="T14" s="56" t="s">
        <v>5</v>
      </c>
      <c r="U14" s="56" t="s">
        <v>6</v>
      </c>
      <c r="V14" s="56" t="s">
        <v>17</v>
      </c>
      <c r="W14" s="56" t="s">
        <v>8</v>
      </c>
      <c r="X14" s="56" t="s">
        <v>18</v>
      </c>
      <c r="Y14" s="56" t="s">
        <v>10</v>
      </c>
      <c r="Z14" s="56" t="s">
        <v>11</v>
      </c>
      <c r="AA14" s="61" t="s">
        <v>12</v>
      </c>
    </row>
    <row r="15" spans="2:28" x14ac:dyDescent="0.35">
      <c r="P15" s="58">
        <v>0.90400000000000003</v>
      </c>
      <c r="Q15" s="58">
        <v>0.92200000000000004</v>
      </c>
      <c r="R15" s="58">
        <f>506233/539620</f>
        <v>0.93812868314740006</v>
      </c>
      <c r="S15" s="58">
        <v>0.93700000000000006</v>
      </c>
      <c r="T15" s="58">
        <v>0.94</v>
      </c>
      <c r="U15" s="58">
        <v>0.91900000000000004</v>
      </c>
      <c r="V15" s="58">
        <v>0.90400000000000003</v>
      </c>
      <c r="W15" s="58">
        <f>579314/628858</f>
        <v>0.92121591837902994</v>
      </c>
      <c r="X15" s="58" t="s">
        <v>37</v>
      </c>
      <c r="Y15" s="58">
        <v>0.92700000000000005</v>
      </c>
      <c r="Z15" s="58">
        <v>0.92900000000000005</v>
      </c>
      <c r="AA15" s="62">
        <v>0.92300000000000004</v>
      </c>
    </row>
    <row r="16" spans="2:28" x14ac:dyDescent="0.35">
      <c r="P16" s="63" t="s">
        <v>41</v>
      </c>
    </row>
    <row r="38" spans="13:30" x14ac:dyDescent="0.35">
      <c r="M38" s="52" t="s">
        <v>65</v>
      </c>
    </row>
    <row r="42" spans="13:30" x14ac:dyDescent="0.35">
      <c r="R42" s="51"/>
      <c r="T42" s="64" t="s">
        <v>6</v>
      </c>
      <c r="U42" s="64" t="s">
        <v>17</v>
      </c>
      <c r="V42" s="64" t="s">
        <v>8</v>
      </c>
      <c r="W42" s="64" t="s">
        <v>18</v>
      </c>
      <c r="X42" s="64" t="s">
        <v>10</v>
      </c>
      <c r="Y42" s="65">
        <v>40299</v>
      </c>
      <c r="Z42" s="64" t="s">
        <v>12</v>
      </c>
      <c r="AA42" s="64" t="s">
        <v>13</v>
      </c>
      <c r="AB42" s="64" t="s">
        <v>14</v>
      </c>
    </row>
    <row r="43" spans="13:30" x14ac:dyDescent="0.35">
      <c r="R43" s="51"/>
      <c r="S43" s="165" t="s">
        <v>196</v>
      </c>
      <c r="T43" s="165" t="s">
        <v>199</v>
      </c>
      <c r="U43" s="165" t="s">
        <v>202</v>
      </c>
      <c r="V43" s="165" t="s">
        <v>205</v>
      </c>
      <c r="W43" s="165" t="s">
        <v>208</v>
      </c>
      <c r="X43" s="165" t="s">
        <v>211</v>
      </c>
      <c r="Y43" s="165" t="s">
        <v>214</v>
      </c>
      <c r="Z43" s="165" t="s">
        <v>217</v>
      </c>
      <c r="AA43" s="165" t="s">
        <v>220</v>
      </c>
      <c r="AB43" s="165" t="s">
        <v>223</v>
      </c>
      <c r="AC43" s="165" t="s">
        <v>226</v>
      </c>
      <c r="AD43" s="165" t="s">
        <v>229</v>
      </c>
    </row>
    <row r="44" spans="13:30" x14ac:dyDescent="0.35">
      <c r="R44" s="51" t="s">
        <v>28</v>
      </c>
      <c r="S44" s="66">
        <v>979</v>
      </c>
      <c r="T44" s="66">
        <v>911</v>
      </c>
      <c r="U44" s="66">
        <v>823</v>
      </c>
      <c r="V44" s="66">
        <v>829</v>
      </c>
      <c r="W44" s="66">
        <v>849</v>
      </c>
      <c r="X44" s="66">
        <v>940</v>
      </c>
      <c r="Y44" s="66">
        <v>1106</v>
      </c>
      <c r="Z44" s="66">
        <v>1105</v>
      </c>
      <c r="AA44" s="66">
        <v>966</v>
      </c>
      <c r="AB44" s="66">
        <v>1178</v>
      </c>
      <c r="AC44" s="66">
        <v>1240</v>
      </c>
      <c r="AD44" s="66">
        <v>1234</v>
      </c>
    </row>
    <row r="45" spans="13:30" x14ac:dyDescent="0.35">
      <c r="R45" s="51" t="s">
        <v>31</v>
      </c>
      <c r="S45" s="52">
        <v>235</v>
      </c>
      <c r="T45" s="52">
        <v>203</v>
      </c>
      <c r="U45" s="52">
        <v>176</v>
      </c>
      <c r="V45" s="52">
        <v>146</v>
      </c>
      <c r="W45" s="52">
        <v>131</v>
      </c>
      <c r="X45" s="52">
        <v>117</v>
      </c>
      <c r="Y45" s="52">
        <v>132</v>
      </c>
      <c r="Z45" s="52">
        <v>126</v>
      </c>
      <c r="AA45" s="52">
        <v>100</v>
      </c>
      <c r="AB45" s="52">
        <v>171</v>
      </c>
      <c r="AC45" s="52">
        <v>216</v>
      </c>
      <c r="AD45" s="52">
        <v>245</v>
      </c>
    </row>
    <row r="46" spans="13:30" x14ac:dyDescent="0.35">
      <c r="R46" s="51" t="s">
        <v>32</v>
      </c>
      <c r="S46" s="52">
        <v>303</v>
      </c>
      <c r="T46" s="52">
        <v>284</v>
      </c>
      <c r="U46" s="52">
        <v>230</v>
      </c>
      <c r="V46" s="52">
        <v>222</v>
      </c>
      <c r="W46" s="52">
        <v>186</v>
      </c>
      <c r="X46" s="52">
        <v>195</v>
      </c>
      <c r="Y46" s="52">
        <v>174</v>
      </c>
      <c r="Z46" s="52">
        <v>179</v>
      </c>
      <c r="AA46" s="52">
        <v>146</v>
      </c>
      <c r="AB46" s="52">
        <v>214</v>
      </c>
      <c r="AC46" s="52">
        <v>236</v>
      </c>
      <c r="AD46" s="52">
        <v>261</v>
      </c>
    </row>
    <row r="47" spans="13:30" x14ac:dyDescent="0.35">
      <c r="R47" s="51" t="s">
        <v>33</v>
      </c>
      <c r="S47" s="52">
        <v>319</v>
      </c>
      <c r="T47" s="52">
        <v>454</v>
      </c>
      <c r="U47" s="52">
        <v>442</v>
      </c>
      <c r="V47" s="52">
        <v>313</v>
      </c>
      <c r="W47" s="52">
        <v>334</v>
      </c>
      <c r="X47" s="52">
        <v>273</v>
      </c>
      <c r="Y47" s="52">
        <v>266</v>
      </c>
      <c r="Z47" s="52">
        <v>275</v>
      </c>
      <c r="AA47" s="52">
        <v>267</v>
      </c>
      <c r="AB47" s="52">
        <v>244</v>
      </c>
      <c r="AC47" s="52">
        <v>324</v>
      </c>
      <c r="AD47" s="52">
        <v>345</v>
      </c>
    </row>
    <row r="50" spans="2:16" x14ac:dyDescent="0.35">
      <c r="E50" s="57"/>
    </row>
    <row r="51" spans="2:16" ht="14" thickBot="1" x14ac:dyDescent="0.4">
      <c r="D51" s="51" t="s">
        <v>2</v>
      </c>
    </row>
    <row r="52" spans="2:16" x14ac:dyDescent="0.35">
      <c r="C52" s="51" t="s">
        <v>2</v>
      </c>
      <c r="D52" s="158">
        <v>2023</v>
      </c>
      <c r="E52" s="158"/>
      <c r="F52" s="158"/>
      <c r="G52" s="158"/>
      <c r="H52" s="158"/>
      <c r="I52" s="158"/>
      <c r="J52" s="158"/>
      <c r="K52" s="158"/>
      <c r="L52" s="158"/>
      <c r="M52" s="158">
        <v>2024</v>
      </c>
      <c r="N52" s="158"/>
      <c r="O52" s="158"/>
      <c r="P52" s="57"/>
    </row>
    <row r="53" spans="2:16" ht="14" thickBot="1" x14ac:dyDescent="0.4">
      <c r="C53" s="51"/>
      <c r="D53" s="159" t="s">
        <v>10</v>
      </c>
      <c r="E53" s="159" t="s">
        <v>11</v>
      </c>
      <c r="F53" s="159" t="s">
        <v>12</v>
      </c>
      <c r="G53" s="159" t="s">
        <v>13</v>
      </c>
      <c r="H53" s="159" t="s">
        <v>14</v>
      </c>
      <c r="I53" s="159" t="s">
        <v>16</v>
      </c>
      <c r="J53" s="159" t="s">
        <v>4</v>
      </c>
      <c r="K53" s="159" t="s">
        <v>5</v>
      </c>
      <c r="L53" s="159" t="s">
        <v>6</v>
      </c>
      <c r="M53" s="159" t="s">
        <v>7</v>
      </c>
      <c r="N53" s="159" t="s">
        <v>8</v>
      </c>
      <c r="O53" s="159" t="s">
        <v>9</v>
      </c>
    </row>
    <row r="54" spans="2:16" x14ac:dyDescent="0.35">
      <c r="B54" s="67" t="s">
        <v>28</v>
      </c>
      <c r="D54" s="68">
        <v>-0.08</v>
      </c>
      <c r="E54" s="68">
        <v>-7.4999999999999997E-2</v>
      </c>
      <c r="F54" s="68">
        <v>-0.107</v>
      </c>
      <c r="G54" s="68">
        <v>7.0000000000000001E-3</v>
      </c>
      <c r="H54" s="68">
        <v>2.4E-2</v>
      </c>
      <c r="I54" s="68">
        <v>9.7000000000000003E-2</v>
      </c>
      <c r="J54" s="68">
        <v>0.15</v>
      </c>
      <c r="K54" s="68">
        <v>-1E-3</v>
      </c>
      <c r="L54" s="68">
        <v>-0.14399999999999999</v>
      </c>
      <c r="M54" s="68">
        <v>0.18</v>
      </c>
      <c r="N54" s="68">
        <v>0.05</v>
      </c>
      <c r="O54" s="68">
        <v>-5.0000000000000001E-3</v>
      </c>
    </row>
    <row r="55" spans="2:16" x14ac:dyDescent="0.35">
      <c r="B55" s="67" t="s">
        <v>31</v>
      </c>
      <c r="D55" s="68">
        <v>0.17899999999999999</v>
      </c>
      <c r="E55" s="68">
        <v>-0.158</v>
      </c>
      <c r="F55" s="68">
        <v>-0.153</v>
      </c>
      <c r="G55" s="68">
        <v>-0.20499999999999999</v>
      </c>
      <c r="H55" s="68">
        <v>-0.115</v>
      </c>
      <c r="I55" s="68">
        <v>-0.12</v>
      </c>
      <c r="J55" s="68">
        <v>0.114</v>
      </c>
      <c r="K55" s="68">
        <v>-4.8000000000000001E-2</v>
      </c>
      <c r="L55" s="68">
        <v>-0.26</v>
      </c>
      <c r="M55" s="68">
        <v>0.41499999999999998</v>
      </c>
      <c r="N55" s="68">
        <v>0.20799999999999999</v>
      </c>
      <c r="O55" s="68">
        <v>0.11799999999999999</v>
      </c>
    </row>
    <row r="56" spans="2:16" x14ac:dyDescent="0.35">
      <c r="B56" s="67" t="s">
        <v>32</v>
      </c>
      <c r="C56" s="51" t="s">
        <v>29</v>
      </c>
      <c r="D56" s="68">
        <v>0.13500000000000001</v>
      </c>
      <c r="E56" s="68">
        <v>-6.7000000000000004E-2</v>
      </c>
      <c r="F56" s="68">
        <v>-0.23499999999999999</v>
      </c>
      <c r="G56" s="68">
        <v>-3.5999999999999997E-2</v>
      </c>
      <c r="H56" s="68">
        <v>-0.19400000000000001</v>
      </c>
      <c r="I56" s="68">
        <v>4.5999999999999999E-2</v>
      </c>
      <c r="J56" s="68">
        <v>-0.121</v>
      </c>
      <c r="K56" s="68">
        <v>2.8000000000000001E-2</v>
      </c>
      <c r="L56" s="68">
        <v>-0.22600000000000001</v>
      </c>
      <c r="M56" s="68">
        <v>0.318</v>
      </c>
      <c r="N56" s="68">
        <v>9.2999999999999999E-2</v>
      </c>
      <c r="O56" s="68">
        <v>9.6000000000000002E-2</v>
      </c>
    </row>
    <row r="57" spans="2:16" x14ac:dyDescent="0.35">
      <c r="B57" s="67" t="s">
        <v>33</v>
      </c>
      <c r="C57" s="51" t="s">
        <v>32</v>
      </c>
      <c r="D57" s="68">
        <v>0.35499999999999998</v>
      </c>
      <c r="E57" s="68">
        <v>-0.307</v>
      </c>
      <c r="F57" s="68">
        <v>0.29699999999999999</v>
      </c>
      <c r="G57" s="68">
        <v>-2.7E-2</v>
      </c>
      <c r="H57" s="68">
        <v>-0.41199999999999998</v>
      </c>
      <c r="I57" s="68">
        <v>-0.223</v>
      </c>
      <c r="J57" s="68">
        <v>-2.5999999999999999E-2</v>
      </c>
      <c r="K57" s="68">
        <v>3.7999999999999999E-2</v>
      </c>
      <c r="L57" s="68">
        <v>-0.03</v>
      </c>
      <c r="M57" s="68">
        <v>-9.4E-2</v>
      </c>
      <c r="N57" s="68">
        <v>0.247</v>
      </c>
      <c r="O57" s="68">
        <v>6.0999999999999999E-2</v>
      </c>
    </row>
    <row r="58" spans="2:16" x14ac:dyDescent="0.35">
      <c r="B58" s="51"/>
      <c r="C58" s="51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</row>
    <row r="59" spans="2:16" ht="14" thickBot="1" x14ac:dyDescent="0.4">
      <c r="D59" s="51" t="s">
        <v>35</v>
      </c>
    </row>
    <row r="60" spans="2:16" ht="14" thickBot="1" x14ac:dyDescent="0.4">
      <c r="B60" s="51"/>
      <c r="C60" s="51" t="s">
        <v>35</v>
      </c>
      <c r="D60" s="69">
        <v>2023</v>
      </c>
      <c r="E60" s="69"/>
      <c r="F60" s="69"/>
      <c r="G60" s="69"/>
      <c r="H60" s="69"/>
      <c r="I60" s="69"/>
      <c r="J60" s="69"/>
      <c r="K60" s="69"/>
      <c r="L60" s="69"/>
      <c r="M60" s="69">
        <v>2024</v>
      </c>
      <c r="N60" s="69"/>
      <c r="O60" s="69"/>
    </row>
    <row r="61" spans="2:16" x14ac:dyDescent="0.35">
      <c r="D61" s="70" t="s">
        <v>24</v>
      </c>
      <c r="E61" s="70" t="s">
        <v>11</v>
      </c>
      <c r="F61" s="70" t="s">
        <v>12</v>
      </c>
      <c r="G61" s="70" t="s">
        <v>13</v>
      </c>
      <c r="H61" s="70" t="s">
        <v>14</v>
      </c>
      <c r="I61" s="70" t="s">
        <v>16</v>
      </c>
      <c r="J61" s="70" t="s">
        <v>4</v>
      </c>
      <c r="K61" s="70" t="s">
        <v>5</v>
      </c>
      <c r="L61" s="70" t="s">
        <v>6</v>
      </c>
      <c r="M61" s="70" t="s">
        <v>7</v>
      </c>
      <c r="N61" s="70" t="s">
        <v>8</v>
      </c>
      <c r="O61" s="70" t="s">
        <v>9</v>
      </c>
    </row>
    <row r="62" spans="2:16" x14ac:dyDescent="0.35">
      <c r="D62" s="68">
        <v>0.95799999999999996</v>
      </c>
      <c r="E62" s="68">
        <v>0.95899999999999996</v>
      </c>
      <c r="F62" s="68">
        <v>0.97</v>
      </c>
      <c r="G62" s="68">
        <v>0.97</v>
      </c>
      <c r="H62" s="68">
        <v>0.95399999999999996</v>
      </c>
      <c r="I62" s="68">
        <v>0.97099999999999997</v>
      </c>
      <c r="J62" s="68">
        <v>0.97</v>
      </c>
      <c r="K62" s="68">
        <v>0.95899999999999996</v>
      </c>
      <c r="L62" s="68">
        <v>0.96</v>
      </c>
      <c r="M62" s="68">
        <v>0.96699999999999997</v>
      </c>
      <c r="N62" s="68">
        <v>0.97699999999999998</v>
      </c>
      <c r="O62" s="68">
        <v>0.96799999999999997</v>
      </c>
    </row>
    <row r="63" spans="2:16" x14ac:dyDescent="0.35">
      <c r="N63" s="71"/>
    </row>
    <row r="64" spans="2:16" x14ac:dyDescent="0.35">
      <c r="O64" s="58"/>
    </row>
    <row r="73" spans="2:2" x14ac:dyDescent="0.35">
      <c r="B73" s="63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4E132-9982-44EA-BE3B-5B3592828C99}">
  <sheetPr codeName="Sheet8"/>
  <dimension ref="A1:M65"/>
  <sheetViews>
    <sheetView view="pageBreakPreview" topLeftCell="A7" zoomScaleNormal="100" zoomScaleSheetLayoutView="100" workbookViewId="0">
      <selection activeCell="C50" sqref="C50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164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306</v>
      </c>
      <c r="D5" s="89">
        <v>589.94000000000005</v>
      </c>
      <c r="E5" s="90">
        <v>101</v>
      </c>
      <c r="F5" s="91" t="s">
        <v>60</v>
      </c>
      <c r="G5" s="92">
        <f>1284941/1299840</f>
        <v>0.9885378200393895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234</v>
      </c>
      <c r="D7" s="96">
        <v>444.42</v>
      </c>
      <c r="E7" s="97">
        <v>69</v>
      </c>
      <c r="F7" s="91" t="s">
        <v>61</v>
      </c>
      <c r="G7" s="92">
        <f>C11/C5</f>
        <v>1.2679738562091503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341</v>
      </c>
      <c r="D9" s="106">
        <v>465.81</v>
      </c>
      <c r="E9" s="107">
        <v>52</v>
      </c>
      <c r="F9" s="91" t="s">
        <v>62</v>
      </c>
      <c r="G9" s="92">
        <f>C13/C5</f>
        <v>4.2483660130718956E-2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388</v>
      </c>
      <c r="D11" s="106">
        <v>422.47</v>
      </c>
      <c r="E11" s="107">
        <v>45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13</v>
      </c>
      <c r="D13" s="110">
        <v>537.21</v>
      </c>
      <c r="E13" s="111">
        <v>143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89</v>
      </c>
      <c r="D15" s="89">
        <v>361.37</v>
      </c>
      <c r="E15" s="90">
        <v>66</v>
      </c>
      <c r="F15" s="91" t="s">
        <v>60</v>
      </c>
      <c r="G15" s="92">
        <f>746007/736888</f>
        <v>1.0123750149276416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116</v>
      </c>
      <c r="D17" s="96">
        <v>363.11</v>
      </c>
      <c r="E17" s="97">
        <v>60</v>
      </c>
      <c r="F17" s="91" t="s">
        <v>61</v>
      </c>
      <c r="G17" s="92">
        <f>C21/C15</f>
        <v>2.4382022471910112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157</v>
      </c>
      <c r="D19" s="106">
        <v>361.22</v>
      </c>
      <c r="E19" s="107">
        <v>39</v>
      </c>
      <c r="F19" s="91" t="s">
        <v>62</v>
      </c>
      <c r="G19" s="92">
        <f>C23/C15</f>
        <v>5.6179775280898875E-2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217</v>
      </c>
      <c r="D21" s="106">
        <v>370.57</v>
      </c>
      <c r="E21" s="107">
        <v>39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5</v>
      </c>
      <c r="D23" s="110">
        <v>348.64</v>
      </c>
      <c r="E23" s="111">
        <v>34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41</v>
      </c>
      <c r="D25" s="89">
        <v>424.76</v>
      </c>
      <c r="E25" s="90">
        <v>42</v>
      </c>
      <c r="F25" s="91" t="s">
        <v>60</v>
      </c>
      <c r="G25" s="92">
        <f>1252442/1254982</f>
        <v>0.99797606658900284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47</v>
      </c>
      <c r="D27" s="97">
        <v>415.33</v>
      </c>
      <c r="E27" s="97">
        <v>49</v>
      </c>
      <c r="F27" s="91" t="s">
        <v>61</v>
      </c>
      <c r="G27" s="92">
        <f>C31/C25</f>
        <v>1.7317073170731707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60</v>
      </c>
      <c r="D29" s="107">
        <v>409.86</v>
      </c>
      <c r="E29" s="107">
        <v>38</v>
      </c>
      <c r="F29" s="91" t="s">
        <v>62</v>
      </c>
      <c r="G29" s="92">
        <f>C33/C25</f>
        <v>2.4390243902439025E-2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71</v>
      </c>
      <c r="D31" s="106">
        <v>416.99</v>
      </c>
      <c r="E31" s="107">
        <v>38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</v>
      </c>
      <c r="D33" s="110">
        <v>467.29</v>
      </c>
      <c r="E33" s="111">
        <v>182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31</v>
      </c>
      <c r="D35" s="89">
        <v>674.57</v>
      </c>
      <c r="E35" s="123">
        <v>81</v>
      </c>
      <c r="F35" s="91" t="s">
        <v>60</v>
      </c>
      <c r="G35" s="92">
        <f>1736435/1725715</f>
        <v>1.0062119179586433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28</v>
      </c>
      <c r="D37" s="96">
        <v>467.5</v>
      </c>
      <c r="E37" s="133">
        <v>67</v>
      </c>
      <c r="F37" s="91" t="s">
        <v>61</v>
      </c>
      <c r="G37" s="92">
        <f>C41/C35</f>
        <v>1.4838709677419355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37</v>
      </c>
      <c r="D39" s="106">
        <v>493.91</v>
      </c>
      <c r="E39" s="107">
        <v>18</v>
      </c>
      <c r="F39" s="91" t="s">
        <v>62</v>
      </c>
      <c r="G39" s="92">
        <f>C43/C35</f>
        <v>3.2258064516129031E-2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46</v>
      </c>
      <c r="D41" s="106">
        <v>467.34</v>
      </c>
      <c r="E41" s="107">
        <v>41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496.91</v>
      </c>
      <c r="E43" s="140">
        <v>269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38</v>
      </c>
      <c r="D45" s="89">
        <v>591.41999999999996</v>
      </c>
      <c r="E45" s="123">
        <v>105</v>
      </c>
      <c r="F45" s="91" t="s">
        <v>60</v>
      </c>
      <c r="G45" s="92">
        <f>2438361/2455571</f>
        <v>0.99299144679587759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16</v>
      </c>
      <c r="D47" s="96">
        <v>573.11</v>
      </c>
      <c r="E47" s="133">
        <v>76</v>
      </c>
      <c r="F47" s="91" t="s">
        <v>61</v>
      </c>
      <c r="G47" s="92">
        <f>C51/C45</f>
        <v>0.81578947368421051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45</v>
      </c>
      <c r="D49" s="106">
        <v>580.94000000000005</v>
      </c>
      <c r="E49" s="107">
        <v>93</v>
      </c>
      <c r="F49" s="91" t="s">
        <v>62</v>
      </c>
      <c r="G49" s="92">
        <f>C53/C45</f>
        <v>5.2631578947368418E-2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31</v>
      </c>
      <c r="D51" s="106">
        <v>624.38</v>
      </c>
      <c r="E51" s="107">
        <v>61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546.21</v>
      </c>
      <c r="E53" s="111">
        <v>179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107</v>
      </c>
      <c r="D55" s="89">
        <v>818.32</v>
      </c>
      <c r="E55" s="123">
        <v>157</v>
      </c>
      <c r="F55" s="91" t="s">
        <v>60</v>
      </c>
      <c r="G55" s="164">
        <f>4012391/4340174</f>
        <v>0.92447699101464598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27</v>
      </c>
      <c r="D57" s="96">
        <v>744.17</v>
      </c>
      <c r="E57" s="133">
        <v>145</v>
      </c>
      <c r="F57" s="91" t="s">
        <v>61</v>
      </c>
      <c r="G57" s="92">
        <f>C61/C55</f>
        <v>0.21495327102803738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42</v>
      </c>
      <c r="D59" s="157">
        <v>788.58</v>
      </c>
      <c r="E59" s="133">
        <v>102</v>
      </c>
      <c r="F59" s="91" t="s">
        <v>62</v>
      </c>
      <c r="G59" s="92">
        <f>C63/C55</f>
        <v>3.7383177570093455E-2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23</v>
      </c>
      <c r="D61" s="157">
        <v>701.96</v>
      </c>
      <c r="E61" s="142">
        <v>112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795.99</v>
      </c>
      <c r="E63" s="163">
        <v>218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165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143D5-443F-42BC-A21E-6F92E3187661}">
  <sheetPr codeName="Sheet9"/>
  <dimension ref="A1:M65"/>
  <sheetViews>
    <sheetView view="pageBreakPreview" zoomScaleNormal="100" zoomScaleSheetLayoutView="100" workbookViewId="0">
      <selection activeCell="K69" sqref="K6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162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356</v>
      </c>
      <c r="D5" s="89">
        <v>549.08000000000004</v>
      </c>
      <c r="E5" s="90">
        <v>106</v>
      </c>
      <c r="F5" s="91" t="s">
        <v>60</v>
      </c>
      <c r="G5" s="92">
        <f>1297446/1306104</f>
        <v>0.99337112511714232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187</v>
      </c>
      <c r="D7" s="96">
        <v>442.71</v>
      </c>
      <c r="E7" s="97">
        <v>84</v>
      </c>
      <c r="F7" s="91" t="s">
        <v>61</v>
      </c>
      <c r="G7" s="92">
        <f>C11/C5</f>
        <v>1.396067415730337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280</v>
      </c>
      <c r="D9" s="106">
        <v>465.9</v>
      </c>
      <c r="E9" s="107">
        <v>57</v>
      </c>
      <c r="F9" s="91" t="s">
        <v>62</v>
      </c>
      <c r="G9" s="92">
        <f>C13/C5</f>
        <v>5.6179775280898875E-2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497</v>
      </c>
      <c r="D11" s="106">
        <v>420.37</v>
      </c>
      <c r="E11" s="107">
        <v>43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20</v>
      </c>
      <c r="D13" s="110">
        <v>416.99</v>
      </c>
      <c r="E13" s="111">
        <v>94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124</v>
      </c>
      <c r="D15" s="89">
        <v>350.81</v>
      </c>
      <c r="E15" s="90">
        <v>69</v>
      </c>
      <c r="F15" s="91" t="s">
        <v>60</v>
      </c>
      <c r="G15" s="92">
        <f>741321/734030</f>
        <v>1.0099328365325668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89</v>
      </c>
      <c r="D17" s="96">
        <v>355.35</v>
      </c>
      <c r="E17" s="97">
        <v>80</v>
      </c>
      <c r="F17" s="91" t="s">
        <v>61</v>
      </c>
      <c r="G17" s="92">
        <f>C21/C15</f>
        <v>2.185483870967742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137</v>
      </c>
      <c r="D19" s="106">
        <v>353.49</v>
      </c>
      <c r="E19" s="107">
        <v>39</v>
      </c>
      <c r="F19" s="91" t="s">
        <v>62</v>
      </c>
      <c r="G19" s="92">
        <f>C23/C15</f>
        <v>8.0645161290322578E-2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271</v>
      </c>
      <c r="D21" s="106">
        <v>366.01</v>
      </c>
      <c r="E21" s="107">
        <v>37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10</v>
      </c>
      <c r="D23" s="110">
        <v>324.17</v>
      </c>
      <c r="E23" s="111">
        <v>90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54</v>
      </c>
      <c r="D25" s="89">
        <v>423.02</v>
      </c>
      <c r="E25" s="90">
        <v>52</v>
      </c>
      <c r="F25" s="91" t="s">
        <v>60</v>
      </c>
      <c r="G25" s="92">
        <f>1218593/1224510</f>
        <v>0.99516786306359284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31</v>
      </c>
      <c r="D27" s="97">
        <v>410.56</v>
      </c>
      <c r="E27" s="97">
        <v>60</v>
      </c>
      <c r="F27" s="91" t="s">
        <v>61</v>
      </c>
      <c r="G27" s="92">
        <f>C31/C25</f>
        <v>1.8703703703703705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44</v>
      </c>
      <c r="D29" s="107">
        <v>404.36</v>
      </c>
      <c r="E29" s="107">
        <v>51</v>
      </c>
      <c r="F29" s="91" t="s">
        <v>62</v>
      </c>
      <c r="G29" s="92">
        <f>C33/C25</f>
        <v>9.2592592592592587E-2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101</v>
      </c>
      <c r="D31" s="106">
        <v>401.86</v>
      </c>
      <c r="E31" s="107">
        <v>36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5</v>
      </c>
      <c r="D33" s="110">
        <v>393.49</v>
      </c>
      <c r="E33" s="111">
        <v>20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38</v>
      </c>
      <c r="D35" s="89">
        <v>631.44000000000005</v>
      </c>
      <c r="E35" s="123">
        <v>88</v>
      </c>
      <c r="F35" s="91" t="s">
        <v>60</v>
      </c>
      <c r="G35" s="92">
        <f>1702636/1701460</f>
        <v>1.0006911711118687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24</v>
      </c>
      <c r="D37" s="96">
        <v>474.01</v>
      </c>
      <c r="E37" s="133">
        <v>59</v>
      </c>
      <c r="F37" s="91" t="s">
        <v>61</v>
      </c>
      <c r="G37" s="92">
        <f>C41/C35</f>
        <v>1.4473684210526316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25</v>
      </c>
      <c r="D39" s="106">
        <v>464.73</v>
      </c>
      <c r="E39" s="107">
        <v>20</v>
      </c>
      <c r="F39" s="91" t="s">
        <v>62</v>
      </c>
      <c r="G39" s="92">
        <f>C43/C35</f>
        <v>5.2631578947368418E-2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55</v>
      </c>
      <c r="D41" s="106">
        <v>459.08</v>
      </c>
      <c r="E41" s="107">
        <v>37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429.29</v>
      </c>
      <c r="E43" s="140">
        <v>134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40</v>
      </c>
      <c r="D45" s="89">
        <v>576.61</v>
      </c>
      <c r="E45" s="123">
        <v>121</v>
      </c>
      <c r="F45" s="91" t="s">
        <v>60</v>
      </c>
      <c r="G45" s="92">
        <f>2398485/2472996</f>
        <v>0.96987014940582195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27</v>
      </c>
      <c r="D47" s="96">
        <v>535.13</v>
      </c>
      <c r="E47" s="133">
        <v>100</v>
      </c>
      <c r="F47" s="91" t="s">
        <v>61</v>
      </c>
      <c r="G47" s="92">
        <f>C51/C45</f>
        <v>0.9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29</v>
      </c>
      <c r="D49" s="106">
        <v>591.23</v>
      </c>
      <c r="E49" s="107">
        <v>85</v>
      </c>
      <c r="F49" s="91" t="s">
        <v>62</v>
      </c>
      <c r="G49" s="92">
        <f>C53/C45</f>
        <v>0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36</v>
      </c>
      <c r="D51" s="106">
        <v>523.57000000000005</v>
      </c>
      <c r="E51" s="107">
        <v>59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100</v>
      </c>
      <c r="D55" s="89">
        <v>820.71</v>
      </c>
      <c r="E55" s="123">
        <v>182</v>
      </c>
      <c r="F55" s="91" t="s">
        <v>60</v>
      </c>
      <c r="G55" s="164">
        <f>4143065/4233171</f>
        <v>0.978714301879135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16</v>
      </c>
      <c r="D57" s="96">
        <v>788.03</v>
      </c>
      <c r="E57" s="133">
        <v>167</v>
      </c>
      <c r="F57" s="91" t="s">
        <v>61</v>
      </c>
      <c r="G57" s="92">
        <f>C61/C55</f>
        <v>0.34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45</v>
      </c>
      <c r="D59" s="157">
        <v>785.03</v>
      </c>
      <c r="E59" s="133">
        <v>122</v>
      </c>
      <c r="F59" s="91" t="s">
        <v>62</v>
      </c>
      <c r="G59" s="92">
        <f>C63/C55</f>
        <v>0.03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34</v>
      </c>
      <c r="D61" s="157">
        <v>736.79</v>
      </c>
      <c r="E61" s="142">
        <v>97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757.36</v>
      </c>
      <c r="E63" s="163">
        <v>203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163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0F8D9-9226-4302-B2CE-FF611733D1B8}">
  <sheetPr codeName="Sheet10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160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430</v>
      </c>
      <c r="D5" s="89">
        <v>527.51</v>
      </c>
      <c r="E5" s="90">
        <v>90</v>
      </c>
      <c r="F5" s="91" t="s">
        <v>60</v>
      </c>
      <c r="G5" s="92">
        <f>1110554/1115063</f>
        <v>0.99595628229077637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263</v>
      </c>
      <c r="D7" s="96">
        <v>437.41</v>
      </c>
      <c r="E7" s="97">
        <v>66</v>
      </c>
      <c r="F7" s="91" t="s">
        <v>61</v>
      </c>
      <c r="G7" s="92">
        <f>C11/C5</f>
        <v>1.155813953488372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335</v>
      </c>
      <c r="D9" s="106">
        <v>441.96</v>
      </c>
      <c r="E9" s="107">
        <v>49</v>
      </c>
      <c r="F9" s="91" t="s">
        <v>62</v>
      </c>
      <c r="G9" s="92">
        <f>C13/C5</f>
        <v>2.0930232558139535E-2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497</v>
      </c>
      <c r="D11" s="106">
        <v>388.38</v>
      </c>
      <c r="E11" s="107">
        <v>43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9</v>
      </c>
      <c r="D13" s="110">
        <v>426.24</v>
      </c>
      <c r="E13" s="111">
        <v>74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171</v>
      </c>
      <c r="D15" s="89">
        <v>346.67</v>
      </c>
      <c r="E15" s="90">
        <v>54</v>
      </c>
      <c r="F15" s="91" t="s">
        <v>60</v>
      </c>
      <c r="G15" s="92">
        <f>739841/738275</f>
        <v>1.0021211608140599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121</v>
      </c>
      <c r="D17" s="96">
        <v>356.84</v>
      </c>
      <c r="E17" s="97">
        <v>60</v>
      </c>
      <c r="F17" s="91" t="s">
        <v>61</v>
      </c>
      <c r="G17" s="92">
        <f>C21/C15</f>
        <v>1.8479532163742689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172</v>
      </c>
      <c r="D19" s="106">
        <v>345.78</v>
      </c>
      <c r="E19" s="107">
        <v>36</v>
      </c>
      <c r="F19" s="91" t="s">
        <v>62</v>
      </c>
      <c r="G19" s="92">
        <f>C23/C15</f>
        <v>2.3391812865497075E-2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316</v>
      </c>
      <c r="D21" s="106">
        <v>351.49</v>
      </c>
      <c r="E21" s="107">
        <v>34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4</v>
      </c>
      <c r="D23" s="110">
        <v>378.09</v>
      </c>
      <c r="E23" s="111">
        <v>34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54</v>
      </c>
      <c r="D25" s="89">
        <v>423.55</v>
      </c>
      <c r="E25" s="123">
        <v>48</v>
      </c>
      <c r="F25" s="91" t="s">
        <v>60</v>
      </c>
      <c r="G25" s="92">
        <f>1247137/1250719</f>
        <v>0.99713604734556682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61</v>
      </c>
      <c r="D27" s="96">
        <v>403.91</v>
      </c>
      <c r="E27" s="97">
        <v>36</v>
      </c>
      <c r="F27" s="91" t="s">
        <v>61</v>
      </c>
      <c r="G27" s="92">
        <f>C31/C25</f>
        <v>1.8518518518518519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59</v>
      </c>
      <c r="D29" s="106">
        <v>396.5</v>
      </c>
      <c r="E29" s="107">
        <v>41</v>
      </c>
      <c r="F29" s="91" t="s">
        <v>62</v>
      </c>
      <c r="G29" s="92">
        <f>C33/C25</f>
        <v>3.7037037037037035E-2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100</v>
      </c>
      <c r="D31" s="106">
        <v>398.09</v>
      </c>
      <c r="E31" s="107">
        <v>36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2</v>
      </c>
      <c r="D33" s="110">
        <v>314.72000000000003</v>
      </c>
      <c r="E33" s="111">
        <v>150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45</v>
      </c>
      <c r="D35" s="89">
        <v>610.89</v>
      </c>
      <c r="E35" s="123">
        <v>68</v>
      </c>
      <c r="F35" s="91" t="s">
        <v>60</v>
      </c>
      <c r="G35" s="92">
        <f>1653093/1696381</f>
        <v>0.9744821475835912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27</v>
      </c>
      <c r="D37" s="96">
        <v>435.63</v>
      </c>
      <c r="E37" s="133">
        <v>57</v>
      </c>
      <c r="F37" s="91" t="s">
        <v>61</v>
      </c>
      <c r="G37" s="92">
        <f>C41/C35</f>
        <v>0.73333333333333328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32</v>
      </c>
      <c r="D39" s="106">
        <v>464.81</v>
      </c>
      <c r="E39" s="107">
        <v>26</v>
      </c>
      <c r="F39" s="91" t="s">
        <v>62</v>
      </c>
      <c r="G39" s="92">
        <f>C43/C35</f>
        <v>4.4444444444444446E-2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33</v>
      </c>
      <c r="D41" s="106">
        <v>436.13</v>
      </c>
      <c r="E41" s="107">
        <v>61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500.62</v>
      </c>
      <c r="E43" s="140">
        <v>24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57</v>
      </c>
      <c r="D45" s="89">
        <v>570.21</v>
      </c>
      <c r="E45" s="123">
        <v>112</v>
      </c>
      <c r="F45" s="91" t="s">
        <v>60</v>
      </c>
      <c r="G45" s="92">
        <f>2501371/2475333</f>
        <v>1.0105189887582802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28</v>
      </c>
      <c r="D47" s="96">
        <v>543.32000000000005</v>
      </c>
      <c r="E47" s="133">
        <v>89</v>
      </c>
      <c r="F47" s="91" t="s">
        <v>61</v>
      </c>
      <c r="G47" s="92">
        <f>C51/C45</f>
        <v>0.52631578947368418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23</v>
      </c>
      <c r="D49" s="106">
        <v>575.61</v>
      </c>
      <c r="E49" s="107">
        <v>74</v>
      </c>
      <c r="F49" s="91" t="s">
        <v>62</v>
      </c>
      <c r="G49" s="92">
        <f>C53/C45</f>
        <v>1.7543859649122806E-2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30</v>
      </c>
      <c r="D51" s="106">
        <v>518.86</v>
      </c>
      <c r="E51" s="107">
        <v>94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693.16</v>
      </c>
      <c r="E53" s="111">
        <v>185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103</v>
      </c>
      <c r="D55" s="89">
        <v>822.18</v>
      </c>
      <c r="E55" s="123">
        <v>169</v>
      </c>
      <c r="F55" s="91" t="s">
        <v>60</v>
      </c>
      <c r="G55" s="164">
        <f>3547132/3643284</f>
        <v>0.97360842580485074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26</v>
      </c>
      <c r="D57" s="96">
        <v>778.74</v>
      </c>
      <c r="E57" s="133">
        <v>154</v>
      </c>
      <c r="F57" s="91" t="s">
        <v>61</v>
      </c>
      <c r="G57" s="92">
        <f>C61/C55</f>
        <v>0.17475728155339806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49</v>
      </c>
      <c r="D59" s="157">
        <v>745.7</v>
      </c>
      <c r="E59" s="133">
        <v>109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18</v>
      </c>
      <c r="D61" s="157">
        <v>647.53</v>
      </c>
      <c r="E61" s="142">
        <v>110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63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161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6F6DD-FCF9-4171-910D-02ACF37A4686}">
  <sheetPr codeName="Sheet11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157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498</v>
      </c>
      <c r="D5" s="89">
        <v>513.91999999999996</v>
      </c>
      <c r="E5" s="90">
        <v>77</v>
      </c>
      <c r="F5" s="91" t="s">
        <v>60</v>
      </c>
      <c r="G5" s="92">
        <f>1268223/1287733</f>
        <v>0.98484934376924405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281</v>
      </c>
      <c r="D7" s="96">
        <v>408.37</v>
      </c>
      <c r="E7" s="97">
        <v>71</v>
      </c>
      <c r="F7" s="91" t="s">
        <v>61</v>
      </c>
      <c r="G7" s="92">
        <f>C11/C5</f>
        <v>0.87349397590361444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331</v>
      </c>
      <c r="D9" s="106">
        <v>417.92</v>
      </c>
      <c r="E9" s="107">
        <v>47</v>
      </c>
      <c r="F9" s="91" t="s">
        <v>62</v>
      </c>
      <c r="G9" s="92">
        <f>C13/C5</f>
        <v>3.614457831325301E-2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435</v>
      </c>
      <c r="D11" s="106">
        <v>396.73</v>
      </c>
      <c r="E11" s="107">
        <v>36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18</v>
      </c>
      <c r="D13" s="110">
        <v>528.62</v>
      </c>
      <c r="E13" s="111">
        <v>141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202</v>
      </c>
      <c r="D15" s="89">
        <v>351.1</v>
      </c>
      <c r="E15" s="90">
        <v>45</v>
      </c>
      <c r="F15" s="91" t="s">
        <v>60</v>
      </c>
      <c r="G15" s="92">
        <f>742835/741704</f>
        <v>1.0015248670628714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158</v>
      </c>
      <c r="D17" s="96">
        <v>352.88</v>
      </c>
      <c r="E17" s="97">
        <v>60</v>
      </c>
      <c r="F17" s="91" t="s">
        <v>61</v>
      </c>
      <c r="G17" s="92">
        <f>C21/C15</f>
        <v>1.3118811881188119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187</v>
      </c>
      <c r="D19" s="106">
        <v>338.25</v>
      </c>
      <c r="E19" s="107">
        <v>35</v>
      </c>
      <c r="F19" s="91" t="s">
        <v>62</v>
      </c>
      <c r="G19" s="92">
        <f>C23/C15</f>
        <v>2.4752475247524754E-2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265</v>
      </c>
      <c r="D21" s="106">
        <v>351.66</v>
      </c>
      <c r="E21" s="107">
        <v>30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5</v>
      </c>
      <c r="D23" s="110">
        <v>382.36</v>
      </c>
      <c r="E23" s="111">
        <v>44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70</v>
      </c>
      <c r="D25" s="89">
        <v>412.73</v>
      </c>
      <c r="E25" s="123">
        <v>34</v>
      </c>
      <c r="F25" s="91" t="s">
        <v>60</v>
      </c>
      <c r="G25" s="92">
        <f>1210559/1223674</f>
        <v>0.98928227616178821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60</v>
      </c>
      <c r="D27" s="96">
        <v>402.56</v>
      </c>
      <c r="E27" s="97">
        <v>47</v>
      </c>
      <c r="F27" s="91" t="s">
        <v>61</v>
      </c>
      <c r="G27" s="92">
        <f>C31/C25</f>
        <v>1.1000000000000001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57</v>
      </c>
      <c r="D29" s="106">
        <v>388.25</v>
      </c>
      <c r="E29" s="107">
        <v>38</v>
      </c>
      <c r="F29" s="91" t="s">
        <v>62</v>
      </c>
      <c r="G29" s="92">
        <f>C33/C25</f>
        <v>4.2857142857142858E-2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77</v>
      </c>
      <c r="D31" s="106">
        <v>386.1</v>
      </c>
      <c r="E31" s="107">
        <v>33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482.48</v>
      </c>
      <c r="E33" s="111">
        <v>74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52</v>
      </c>
      <c r="D35" s="89">
        <v>590.13</v>
      </c>
      <c r="E35" s="123">
        <v>69</v>
      </c>
      <c r="F35" s="91" t="s">
        <v>60</v>
      </c>
      <c r="G35" s="92">
        <f>1711927/1729313</f>
        <v>0.98994629659292444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20</v>
      </c>
      <c r="D37" s="96">
        <v>443.95</v>
      </c>
      <c r="E37" s="133">
        <v>70</v>
      </c>
      <c r="F37" s="91" t="s">
        <v>61</v>
      </c>
      <c r="G37" s="92">
        <f>C41/C35</f>
        <v>0.73076923076923073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25</v>
      </c>
      <c r="D39" s="106">
        <v>446.71</v>
      </c>
      <c r="E39" s="107">
        <v>44</v>
      </c>
      <c r="F39" s="91" t="s">
        <v>62</v>
      </c>
      <c r="G39" s="92">
        <f>C43/C35</f>
        <v>7.6923076923076927E-2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38</v>
      </c>
      <c r="D41" s="106">
        <v>437.52</v>
      </c>
      <c r="E41" s="107">
        <v>44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422.15</v>
      </c>
      <c r="E43" s="140">
        <v>134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66</v>
      </c>
      <c r="D45" s="89">
        <v>572.5</v>
      </c>
      <c r="E45" s="123">
        <v>97</v>
      </c>
      <c r="F45" s="91" t="s">
        <v>60</v>
      </c>
      <c r="G45" s="92">
        <f>2453576/2499481</f>
        <v>0.98163418725727458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26</v>
      </c>
      <c r="D47" s="96">
        <v>542.71</v>
      </c>
      <c r="E47" s="133">
        <v>125</v>
      </c>
      <c r="F47" s="91" t="s">
        <v>61</v>
      </c>
      <c r="G47" s="92">
        <f>C51/C45</f>
        <v>0.46969696969696972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22</v>
      </c>
      <c r="D49" s="106">
        <v>547.33000000000004</v>
      </c>
      <c r="E49" s="107">
        <v>91</v>
      </c>
      <c r="F49" s="91" t="s">
        <v>62</v>
      </c>
      <c r="G49" s="92">
        <f>C53/C45</f>
        <v>3.0303030303030304E-2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31</v>
      </c>
      <c r="D51" s="106">
        <v>511.61</v>
      </c>
      <c r="E51" s="107">
        <v>52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524.38</v>
      </c>
      <c r="E53" s="111">
        <v>390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108</v>
      </c>
      <c r="D55" s="89">
        <v>811.56</v>
      </c>
      <c r="E55" s="123">
        <v>157</v>
      </c>
      <c r="F55" s="91" t="s">
        <v>60</v>
      </c>
      <c r="G55" s="164">
        <f>5020771/5257979</f>
        <v>0.95488608836208744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17</v>
      </c>
      <c r="D57" s="96">
        <v>697.28</v>
      </c>
      <c r="E57" s="133">
        <v>175</v>
      </c>
      <c r="F57" s="91" t="s">
        <v>61</v>
      </c>
      <c r="G57" s="92">
        <f>C61/C55</f>
        <v>0.22222222222222221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40</v>
      </c>
      <c r="D59" s="157">
        <v>743.51</v>
      </c>
      <c r="E59" s="133">
        <v>97</v>
      </c>
      <c r="F59" s="91" t="s">
        <v>62</v>
      </c>
      <c r="G59" s="92">
        <f>C63/C55</f>
        <v>3.7037037037037035E-2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24</v>
      </c>
      <c r="D61" s="157">
        <v>715.5</v>
      </c>
      <c r="E61" s="142">
        <v>85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854.66</v>
      </c>
      <c r="E63" s="163">
        <v>195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158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21D86-5064-4459-A490-61CF18F08E48}">
  <sheetPr codeName="Sheet12"/>
  <dimension ref="A1:M65"/>
  <sheetViews>
    <sheetView view="pageBreakPreview" topLeftCell="A19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155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548</v>
      </c>
      <c r="D5" s="89">
        <v>482.36</v>
      </c>
      <c r="E5" s="90">
        <v>70</v>
      </c>
      <c r="F5" s="91" t="s">
        <v>60</v>
      </c>
      <c r="G5" s="92">
        <f>1104859/1119742</f>
        <v>0.98670854536134212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245</v>
      </c>
      <c r="D7" s="96">
        <v>405.13</v>
      </c>
      <c r="E7" s="97">
        <v>71</v>
      </c>
      <c r="F7" s="91" t="s">
        <v>61</v>
      </c>
      <c r="G7" s="92">
        <f>C11/C5</f>
        <v>0.88686131386861311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333</v>
      </c>
      <c r="D9" s="106">
        <v>433.85</v>
      </c>
      <c r="E9" s="107">
        <v>40</v>
      </c>
      <c r="F9" s="91" t="s">
        <v>62</v>
      </c>
      <c r="G9" s="92">
        <f>C13/C5</f>
        <v>2.1897810218978103E-2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486</v>
      </c>
      <c r="D11" s="106">
        <v>384.78</v>
      </c>
      <c r="E11" s="107">
        <v>40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12</v>
      </c>
      <c r="D13" s="110">
        <v>438.94</v>
      </c>
      <c r="E13" s="111">
        <v>109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255</v>
      </c>
      <c r="D15" s="89">
        <v>351.09</v>
      </c>
      <c r="E15" s="90">
        <v>35</v>
      </c>
      <c r="F15" s="91" t="s">
        <v>60</v>
      </c>
      <c r="G15" s="92">
        <f>705925/698409</f>
        <v>1.010761602442122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137</v>
      </c>
      <c r="D17" s="96">
        <v>351.87</v>
      </c>
      <c r="E17" s="97">
        <v>62</v>
      </c>
      <c r="F17" s="91" t="s">
        <v>61</v>
      </c>
      <c r="G17" s="92">
        <f>C21/C15</f>
        <v>1.2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176</v>
      </c>
      <c r="D19" s="106">
        <v>337.72</v>
      </c>
      <c r="E19" s="107">
        <v>25</v>
      </c>
      <c r="F19" s="91" t="s">
        <v>62</v>
      </c>
      <c r="G19" s="92">
        <f>C23/C15</f>
        <v>1.9607843137254902E-2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306</v>
      </c>
      <c r="D21" s="106">
        <v>354.64</v>
      </c>
      <c r="E21" s="107">
        <v>30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5</v>
      </c>
      <c r="D23" s="110">
        <v>313.86</v>
      </c>
      <c r="E23" s="111">
        <v>35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72</v>
      </c>
      <c r="D25" s="89">
        <v>406.68</v>
      </c>
      <c r="E25" s="123">
        <v>35</v>
      </c>
      <c r="F25" s="91" t="s">
        <v>60</v>
      </c>
      <c r="G25" s="92">
        <f>1201249/1209432</f>
        <v>0.99323401398342359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44</v>
      </c>
      <c r="D27" s="96">
        <v>366.97</v>
      </c>
      <c r="E27" s="97">
        <v>47</v>
      </c>
      <c r="F27" s="91" t="s">
        <v>61</v>
      </c>
      <c r="G27" s="92">
        <f>C31/C25</f>
        <v>1.3611111111111112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52</v>
      </c>
      <c r="D29" s="106">
        <v>386.49</v>
      </c>
      <c r="E29" s="107">
        <v>33</v>
      </c>
      <c r="F29" s="91" t="s">
        <v>62</v>
      </c>
      <c r="G29" s="92">
        <f>C33/C25</f>
        <v>4.1666666666666664E-2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98</v>
      </c>
      <c r="D31" s="106">
        <v>384.94</v>
      </c>
      <c r="E31" s="107">
        <v>36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470.82</v>
      </c>
      <c r="E33" s="111">
        <v>53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54</v>
      </c>
      <c r="D35" s="89">
        <v>461.57</v>
      </c>
      <c r="E35" s="123">
        <v>65</v>
      </c>
      <c r="F35" s="91" t="s">
        <v>60</v>
      </c>
      <c r="G35" s="92">
        <f>1720501/1745029</f>
        <v>0.98594407313574728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24</v>
      </c>
      <c r="D37" s="96">
        <v>438.99</v>
      </c>
      <c r="E37" s="133">
        <v>57</v>
      </c>
      <c r="F37" s="91" t="s">
        <v>61</v>
      </c>
      <c r="G37" s="92">
        <f>C41/C35</f>
        <v>0.57407407407407407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29</v>
      </c>
      <c r="D39" s="106">
        <v>453.57</v>
      </c>
      <c r="E39" s="107">
        <v>37</v>
      </c>
      <c r="F39" s="91" t="s">
        <v>62</v>
      </c>
      <c r="G39" s="92">
        <f>C43/C35</f>
        <v>1.8518518518518517E-2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31</v>
      </c>
      <c r="D41" s="106">
        <v>432.52</v>
      </c>
      <c r="E41" s="107">
        <v>47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339.8</v>
      </c>
      <c r="E43" s="140">
        <v>44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62</v>
      </c>
      <c r="D45" s="89">
        <v>556.66</v>
      </c>
      <c r="E45" s="123">
        <v>102</v>
      </c>
      <c r="F45" s="91" t="s">
        <v>60</v>
      </c>
      <c r="G45" s="92">
        <f>2425759/2516759</f>
        <v>0.96384238618000373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24</v>
      </c>
      <c r="D47" s="96">
        <v>520.71</v>
      </c>
      <c r="E47" s="133">
        <v>116</v>
      </c>
      <c r="F47" s="91" t="s">
        <v>61</v>
      </c>
      <c r="G47" s="92">
        <f>C51/C45</f>
        <v>0.46774193548387094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33</v>
      </c>
      <c r="D49" s="106">
        <v>572.88</v>
      </c>
      <c r="E49" s="107">
        <v>74</v>
      </c>
      <c r="F49" s="91" t="s">
        <v>62</v>
      </c>
      <c r="G49" s="92">
        <f>C53/C45</f>
        <v>4.8387096774193547E-2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29</v>
      </c>
      <c r="D51" s="106">
        <v>506.15</v>
      </c>
      <c r="E51" s="107">
        <v>85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3</v>
      </c>
      <c r="D53" s="110">
        <v>648.57000000000005</v>
      </c>
      <c r="E53" s="111">
        <v>313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105</v>
      </c>
      <c r="D55" s="89">
        <v>819.85</v>
      </c>
      <c r="E55" s="123">
        <v>162</v>
      </c>
      <c r="F55" s="91" t="s">
        <v>60</v>
      </c>
      <c r="G55" s="164">
        <f>3914849/4171889</f>
        <v>0.9383876224894766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16</v>
      </c>
      <c r="D57" s="96">
        <v>686.88</v>
      </c>
      <c r="E57" s="133">
        <v>168</v>
      </c>
      <c r="F57" s="91" t="s">
        <v>61</v>
      </c>
      <c r="G57" s="92">
        <f>C61/C55</f>
        <v>0.18095238095238095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43</v>
      </c>
      <c r="D59" s="157">
        <v>764.62</v>
      </c>
      <c r="E59" s="133">
        <v>82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19</v>
      </c>
      <c r="D61" s="157">
        <v>598.62</v>
      </c>
      <c r="E61" s="142">
        <v>145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63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156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E066C-AFF1-4859-8630-075D2840895D}">
  <sheetPr codeName="Sheet13"/>
  <dimension ref="A1:M65"/>
  <sheetViews>
    <sheetView view="pageBreakPreview" zoomScaleNormal="100" zoomScaleSheetLayoutView="100" workbookViewId="0">
      <selection activeCell="H55" sqref="H5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153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524</v>
      </c>
      <c r="D5" s="89">
        <v>479.41</v>
      </c>
      <c r="E5" s="90">
        <v>71</v>
      </c>
      <c r="F5" s="91" t="s">
        <v>60</v>
      </c>
      <c r="G5" s="92">
        <f>1129341/1143992</f>
        <v>0.98719309225938645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280</v>
      </c>
      <c r="D7" s="96">
        <v>399.52</v>
      </c>
      <c r="E7" s="97">
        <v>67</v>
      </c>
      <c r="F7" s="91" t="s">
        <v>61</v>
      </c>
      <c r="G7" s="92">
        <f>C11/C5</f>
        <v>0.90839694656488545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347</v>
      </c>
      <c r="D9" s="106">
        <v>418.26</v>
      </c>
      <c r="E9" s="107">
        <v>41</v>
      </c>
      <c r="F9" s="91" t="s">
        <v>62</v>
      </c>
      <c r="G9" s="92">
        <f>C13/C5</f>
        <v>3.2442748091603052E-2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476</v>
      </c>
      <c r="D11" s="106">
        <v>375.57</v>
      </c>
      <c r="E11" s="107">
        <v>37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17</v>
      </c>
      <c r="D13" s="110">
        <v>440.68</v>
      </c>
      <c r="E13" s="111">
        <v>113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222</v>
      </c>
      <c r="D15" s="89">
        <v>343.95</v>
      </c>
      <c r="E15" s="90">
        <v>33</v>
      </c>
      <c r="F15" s="91" t="s">
        <v>60</v>
      </c>
      <c r="G15" s="92">
        <f>728112/727590</f>
        <v>1.0007174370181009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154</v>
      </c>
      <c r="D17" s="96">
        <v>345.22</v>
      </c>
      <c r="E17" s="97">
        <v>57</v>
      </c>
      <c r="F17" s="91" t="s">
        <v>61</v>
      </c>
      <c r="G17" s="92">
        <f>C21/C15</f>
        <v>1.3513513513513513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199</v>
      </c>
      <c r="D19" s="106">
        <v>339.2</v>
      </c>
      <c r="E19" s="107">
        <v>23</v>
      </c>
      <c r="F19" s="91" t="s">
        <v>62</v>
      </c>
      <c r="G19" s="92">
        <f>C23/C15</f>
        <v>4.5045045045045043E-2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300</v>
      </c>
      <c r="D21" s="106">
        <v>341.95</v>
      </c>
      <c r="E21" s="107">
        <v>29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10</v>
      </c>
      <c r="D23" s="110">
        <v>331.48</v>
      </c>
      <c r="E23" s="111">
        <v>25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78</v>
      </c>
      <c r="D25" s="89">
        <v>411.53</v>
      </c>
      <c r="E25" s="123">
        <v>36</v>
      </c>
      <c r="F25" s="91" t="s">
        <v>60</v>
      </c>
      <c r="G25" s="92">
        <f>1244091/1254798</f>
        <v>0.99146715248191342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62</v>
      </c>
      <c r="D27" s="96">
        <v>383.2</v>
      </c>
      <c r="E27" s="97">
        <v>44</v>
      </c>
      <c r="F27" s="91" t="s">
        <v>61</v>
      </c>
      <c r="G27" s="92">
        <f>C31/C25</f>
        <v>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54</v>
      </c>
      <c r="D29" s="106">
        <v>387.96</v>
      </c>
      <c r="E29" s="107">
        <v>30</v>
      </c>
      <c r="F29" s="91" t="s">
        <v>62</v>
      </c>
      <c r="G29" s="92">
        <f>C33/C25</f>
        <v>3.8461538461538464E-2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78</v>
      </c>
      <c r="D31" s="106">
        <v>378.58</v>
      </c>
      <c r="E31" s="107">
        <v>35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305.88</v>
      </c>
      <c r="E33" s="111">
        <v>285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60</v>
      </c>
      <c r="D35" s="89">
        <v>468.84</v>
      </c>
      <c r="E35" s="123">
        <v>52</v>
      </c>
      <c r="F35" s="91" t="s">
        <v>60</v>
      </c>
      <c r="G35" s="92">
        <f>1686224/1720880</f>
        <v>0.97986146622658177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20</v>
      </c>
      <c r="D37" s="96">
        <v>425.21</v>
      </c>
      <c r="E37" s="133">
        <v>45</v>
      </c>
      <c r="F37" s="91" t="s">
        <v>61</v>
      </c>
      <c r="G37" s="92">
        <f>C41/C35</f>
        <v>0.93333333333333335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24</v>
      </c>
      <c r="D39" s="106">
        <v>448</v>
      </c>
      <c r="E39" s="107">
        <v>41</v>
      </c>
      <c r="F39" s="91" t="s">
        <v>62</v>
      </c>
      <c r="G39" s="92">
        <f>C43/C35</f>
        <v>0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56</v>
      </c>
      <c r="D41" s="106">
        <v>416.89</v>
      </c>
      <c r="E41" s="107">
        <v>51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0</v>
      </c>
      <c r="D43" s="110" t="s">
        <v>30</v>
      </c>
      <c r="E43" s="140" t="s">
        <v>30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68</v>
      </c>
      <c r="D45" s="89">
        <v>547.04</v>
      </c>
      <c r="E45" s="123">
        <v>94</v>
      </c>
      <c r="F45" s="91" t="s">
        <v>60</v>
      </c>
      <c r="G45" s="92">
        <f>2395518/2455207</f>
        <v>0.97568881157474707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26</v>
      </c>
      <c r="D47" s="96">
        <v>538.39</v>
      </c>
      <c r="E47" s="133">
        <v>126</v>
      </c>
      <c r="F47" s="91" t="s">
        <v>61</v>
      </c>
      <c r="G47" s="92">
        <f>C51/C45</f>
        <v>0.4264705882352941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35</v>
      </c>
      <c r="D49" s="106">
        <v>562.41999999999996</v>
      </c>
      <c r="E49" s="107">
        <v>97</v>
      </c>
      <c r="F49" s="91" t="s">
        <v>62</v>
      </c>
      <c r="G49" s="92">
        <f>C53/C45</f>
        <v>2.9411764705882353E-2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29</v>
      </c>
      <c r="D51" s="106">
        <v>480.69</v>
      </c>
      <c r="E51" s="107">
        <v>54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693.42</v>
      </c>
      <c r="E53" s="111">
        <v>116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96</v>
      </c>
      <c r="D55" s="89">
        <v>806.51</v>
      </c>
      <c r="E55" s="123">
        <v>180</v>
      </c>
      <c r="F55" s="91" t="s">
        <v>60</v>
      </c>
      <c r="G55" s="164">
        <f>4476538/4678377</f>
        <v>0.95685704679208194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18</v>
      </c>
      <c r="D57" s="96">
        <v>694.27</v>
      </c>
      <c r="E57" s="133">
        <v>178</v>
      </c>
      <c r="F57" s="91" t="s">
        <v>61</v>
      </c>
      <c r="G57" s="92">
        <f>C61/C55</f>
        <v>0.13541666666666666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35</v>
      </c>
      <c r="D59" s="157">
        <v>749.98</v>
      </c>
      <c r="E59" s="133">
        <v>104</v>
      </c>
      <c r="F59" s="91" t="s">
        <v>62</v>
      </c>
      <c r="G59" s="92">
        <f>C63/C55</f>
        <v>2.0833333333333332E-2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13</v>
      </c>
      <c r="D61" s="157">
        <v>720.94</v>
      </c>
      <c r="E61" s="142">
        <v>120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936.13</v>
      </c>
      <c r="E63" s="163">
        <v>293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154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C960B-2CAA-47A7-84A0-EEF4A933B2B1}">
  <sheetPr codeName="Sheet14"/>
  <dimension ref="A1:M65"/>
  <sheetViews>
    <sheetView view="pageBreakPreview" zoomScaleNormal="100" zoomScaleSheetLayoutView="100" workbookViewId="0">
      <selection activeCell="A5" sqref="A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152</v>
      </c>
      <c r="B1" s="72"/>
      <c r="C1" s="73"/>
      <c r="D1" s="74"/>
      <c r="E1" s="74"/>
      <c r="F1" s="74"/>
      <c r="G1" s="75"/>
    </row>
    <row r="2" spans="1:7" ht="17.5" x14ac:dyDescent="0.35">
      <c r="A2" s="76" t="s">
        <v>54</v>
      </c>
      <c r="B2" s="76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538</v>
      </c>
      <c r="D5" s="89">
        <v>204.57</v>
      </c>
      <c r="E5" s="90">
        <v>66</v>
      </c>
      <c r="F5" s="91" t="s">
        <v>60</v>
      </c>
      <c r="G5" s="92">
        <f>1141145/1147034</f>
        <v>0.99486588889256988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281</v>
      </c>
      <c r="D7" s="96">
        <v>385.13</v>
      </c>
      <c r="E7" s="97">
        <v>66</v>
      </c>
      <c r="F7" s="91" t="s">
        <v>61</v>
      </c>
      <c r="G7" s="92">
        <f>C11/C5</f>
        <v>0.96654275092936803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303</v>
      </c>
      <c r="D9" s="106">
        <v>412.38</v>
      </c>
      <c r="E9" s="107">
        <v>39</v>
      </c>
      <c r="F9" s="91" t="s">
        <v>62</v>
      </c>
      <c r="G9" s="92">
        <f>C13/C5</f>
        <v>2.9739776951672861E-2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520</v>
      </c>
      <c r="D11" s="106">
        <v>383.01</v>
      </c>
      <c r="E11" s="107">
        <v>34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16</v>
      </c>
      <c r="D13" s="110">
        <v>477.94</v>
      </c>
      <c r="E13" s="111">
        <v>167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217</v>
      </c>
      <c r="D15" s="89">
        <v>342.79</v>
      </c>
      <c r="E15" s="90">
        <v>28</v>
      </c>
      <c r="F15" s="91" t="s">
        <v>60</v>
      </c>
      <c r="G15" s="92">
        <f>709071/701407</f>
        <v>1.0109266089445927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159</v>
      </c>
      <c r="D17" s="96">
        <v>340.13</v>
      </c>
      <c r="E17" s="97">
        <v>51</v>
      </c>
      <c r="F17" s="91" t="s">
        <v>61</v>
      </c>
      <c r="G17" s="92">
        <f>C21/C15</f>
        <v>1.4884792626728112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164</v>
      </c>
      <c r="D19" s="106">
        <v>329.85</v>
      </c>
      <c r="E19" s="107">
        <v>23</v>
      </c>
      <c r="F19" s="91" t="s">
        <v>62</v>
      </c>
      <c r="G19" s="92">
        <f>C23/C15</f>
        <v>1.3824884792626729E-2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323</v>
      </c>
      <c r="D21" s="106">
        <v>336.47</v>
      </c>
      <c r="E21" s="107">
        <v>28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</v>
      </c>
      <c r="D23" s="110">
        <v>333.48</v>
      </c>
      <c r="E23" s="111">
        <v>56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86</v>
      </c>
      <c r="D25" s="89">
        <v>400.44</v>
      </c>
      <c r="E25" s="123">
        <v>36</v>
      </c>
      <c r="F25" s="91" t="s">
        <v>60</v>
      </c>
      <c r="G25" s="92">
        <f>1271224/1270658</f>
        <v>1.0004454385050894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58</v>
      </c>
      <c r="D27" s="96">
        <v>387.89</v>
      </c>
      <c r="E27" s="97">
        <v>40</v>
      </c>
      <c r="F27" s="91" t="s">
        <v>61</v>
      </c>
      <c r="G27" s="92">
        <f>C31/C25</f>
        <v>1.1162790697674418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45</v>
      </c>
      <c r="D29" s="106">
        <v>382.42</v>
      </c>
      <c r="E29" s="107">
        <v>32</v>
      </c>
      <c r="F29" s="91" t="s">
        <v>62</v>
      </c>
      <c r="G29" s="92">
        <f>C33/C25</f>
        <v>1.1627906976744186E-2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96</v>
      </c>
      <c r="D31" s="106">
        <v>377.61</v>
      </c>
      <c r="E31" s="107">
        <v>37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</v>
      </c>
      <c r="D33" s="110">
        <v>337.7</v>
      </c>
      <c r="E33" s="111">
        <v>60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54</v>
      </c>
      <c r="D35" s="89">
        <v>466.3</v>
      </c>
      <c r="E35" s="123">
        <v>39</v>
      </c>
      <c r="F35" s="91" t="s">
        <v>60</v>
      </c>
      <c r="G35" s="92">
        <f>1664799/1680357</f>
        <v>0.99074125319798112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27</v>
      </c>
      <c r="D37" s="96">
        <v>399.17</v>
      </c>
      <c r="E37" s="133">
        <v>53</v>
      </c>
      <c r="F37" s="91" t="s">
        <v>61</v>
      </c>
      <c r="G37" s="92">
        <f>C41/C35</f>
        <v>0.90740740740740744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32</v>
      </c>
      <c r="D39" s="106">
        <v>442.93</v>
      </c>
      <c r="E39" s="107">
        <v>48</v>
      </c>
      <c r="F39" s="91" t="s">
        <v>62</v>
      </c>
      <c r="G39" s="92">
        <f>C43/C35</f>
        <v>3.7037037037037035E-2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49</v>
      </c>
      <c r="D41" s="106">
        <v>413.52</v>
      </c>
      <c r="E41" s="107">
        <v>40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467.25</v>
      </c>
      <c r="E43" s="140">
        <v>94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81</v>
      </c>
      <c r="D45" s="89">
        <v>546.87</v>
      </c>
      <c r="E45" s="123">
        <v>81</v>
      </c>
      <c r="F45" s="91" t="s">
        <v>60</v>
      </c>
      <c r="G45" s="92">
        <f>2392924/2478964</f>
        <v>0.96529195260600797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25</v>
      </c>
      <c r="D47" s="96">
        <v>490.68</v>
      </c>
      <c r="E47" s="133">
        <v>164</v>
      </c>
      <c r="F47" s="91" t="s">
        <v>61</v>
      </c>
      <c r="G47" s="92">
        <f>C51/C45</f>
        <v>0.34567901234567899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31</v>
      </c>
      <c r="D49" s="106">
        <v>535.29999999999995</v>
      </c>
      <c r="E49" s="107">
        <v>71</v>
      </c>
      <c r="F49" s="91" t="s">
        <v>62</v>
      </c>
      <c r="G49" s="92">
        <f>C53/C45</f>
        <v>7.407407407407407E-2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28</v>
      </c>
      <c r="D51" s="106">
        <v>465.7</v>
      </c>
      <c r="E51" s="107">
        <v>80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6</v>
      </c>
      <c r="D53" s="110">
        <v>478.99</v>
      </c>
      <c r="E53" s="111">
        <v>232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100</v>
      </c>
      <c r="D55" s="89">
        <v>770.58</v>
      </c>
      <c r="E55" s="123">
        <v>177</v>
      </c>
      <c r="F55" s="91" t="s">
        <v>60</v>
      </c>
      <c r="G55" s="164">
        <f>3906291/4007162</f>
        <v>0.97482732168053099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12</v>
      </c>
      <c r="D57" s="96">
        <v>716.63</v>
      </c>
      <c r="E57" s="133">
        <v>220</v>
      </c>
      <c r="F57" s="91" t="s">
        <v>61</v>
      </c>
      <c r="G57" s="92">
        <f>C61/C55</f>
        <v>0.24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31</v>
      </c>
      <c r="D59" s="157">
        <v>738.01</v>
      </c>
      <c r="E59" s="133">
        <v>93</v>
      </c>
      <c r="F59" s="91" t="s">
        <v>62</v>
      </c>
      <c r="G59" s="92">
        <f>C63/C55</f>
        <v>0.04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24</v>
      </c>
      <c r="D61" s="157">
        <v>655.58</v>
      </c>
      <c r="E61" s="142">
        <v>39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625.13</v>
      </c>
      <c r="E63" s="163">
        <v>215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151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F4D8-1A5C-4FDD-906E-8C9A18822BFE}">
  <sheetPr codeName="Sheet15"/>
  <dimension ref="A1:M65"/>
  <sheetViews>
    <sheetView view="pageBreakPreview" zoomScaleNormal="100" zoomScaleSheetLayoutView="100" workbookViewId="0">
      <selection sqref="A1:A2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149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504</v>
      </c>
      <c r="D5" s="89">
        <v>483.46</v>
      </c>
      <c r="E5" s="90">
        <v>67</v>
      </c>
      <c r="F5" s="91" t="s">
        <v>60</v>
      </c>
      <c r="G5" s="92">
        <f>1213689/1215766</f>
        <v>0.99829161203718475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278</v>
      </c>
      <c r="D7" s="96">
        <v>372.5</v>
      </c>
      <c r="E7" s="97">
        <v>62</v>
      </c>
      <c r="F7" s="91" t="s">
        <v>61</v>
      </c>
      <c r="G7" s="92">
        <f>C11/C5</f>
        <v>1.1884920634920635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371</v>
      </c>
      <c r="D9" s="106">
        <v>400.73</v>
      </c>
      <c r="E9" s="107">
        <v>36</v>
      </c>
      <c r="F9" s="91" t="s">
        <v>62</v>
      </c>
      <c r="G9" s="92">
        <f>C13/C5</f>
        <v>2.5793650793650792E-2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599</v>
      </c>
      <c r="D11" s="106">
        <v>373.85</v>
      </c>
      <c r="E11" s="107">
        <v>36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13</v>
      </c>
      <c r="D13" s="110">
        <v>413.85</v>
      </c>
      <c r="E13" s="111">
        <v>71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190</v>
      </c>
      <c r="D15" s="89">
        <v>338.95</v>
      </c>
      <c r="E15" s="90">
        <v>25</v>
      </c>
      <c r="F15" s="91" t="s">
        <v>60</v>
      </c>
      <c r="G15" s="92">
        <f>711411/698344</f>
        <v>1.0187114087040199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158</v>
      </c>
      <c r="D17" s="96">
        <v>327.86</v>
      </c>
      <c r="E17" s="97">
        <v>53</v>
      </c>
      <c r="F17" s="91" t="s">
        <v>61</v>
      </c>
      <c r="G17" s="92">
        <f>C21/C15</f>
        <v>1.8894736842105264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202</v>
      </c>
      <c r="D19" s="106">
        <v>325.39</v>
      </c>
      <c r="E19" s="107">
        <v>19</v>
      </c>
      <c r="F19" s="91" t="s">
        <v>62</v>
      </c>
      <c r="G19" s="92">
        <f>C23/C15</f>
        <v>3.1578947368421054E-2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359</v>
      </c>
      <c r="D21" s="106">
        <v>334.01</v>
      </c>
      <c r="E21" s="107">
        <v>22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6</v>
      </c>
      <c r="D23" s="110">
        <v>307.29000000000002</v>
      </c>
      <c r="E23" s="111">
        <v>41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68</v>
      </c>
      <c r="D25" s="89">
        <v>394.18</v>
      </c>
      <c r="E25" s="123">
        <v>36</v>
      </c>
      <c r="F25" s="91" t="s">
        <v>60</v>
      </c>
      <c r="G25" s="92">
        <f>1228273/1227280</f>
        <v>1.0008091063164071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54</v>
      </c>
      <c r="D27" s="96">
        <v>372.27</v>
      </c>
      <c r="E27" s="97">
        <v>39</v>
      </c>
      <c r="F27" s="91" t="s">
        <v>61</v>
      </c>
      <c r="G27" s="92">
        <f>C31/C25</f>
        <v>1.3970588235294117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63</v>
      </c>
      <c r="D29" s="106">
        <v>373.47</v>
      </c>
      <c r="E29" s="107">
        <v>34</v>
      </c>
      <c r="F29" s="91" t="s">
        <v>62</v>
      </c>
      <c r="G29" s="92">
        <f>C33/C25</f>
        <v>2.9411764705882353E-2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95</v>
      </c>
      <c r="D31" s="106">
        <v>362.66</v>
      </c>
      <c r="E31" s="107">
        <v>31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2</v>
      </c>
      <c r="D33" s="110">
        <v>422.73</v>
      </c>
      <c r="E33" s="111">
        <v>44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56</v>
      </c>
      <c r="D35" s="89">
        <v>446.33</v>
      </c>
      <c r="E35" s="123">
        <v>39</v>
      </c>
      <c r="F35" s="91" t="s">
        <v>60</v>
      </c>
      <c r="G35" s="92">
        <f>1710601/1709221</f>
        <v>1.0008073853527426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26</v>
      </c>
      <c r="D37" s="96">
        <v>398.22</v>
      </c>
      <c r="E37" s="133">
        <v>54</v>
      </c>
      <c r="F37" s="91" t="s">
        <v>61</v>
      </c>
      <c r="G37" s="92">
        <f>C41/C35</f>
        <v>1.2678571428571428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35</v>
      </c>
      <c r="D39" s="106">
        <v>422.25</v>
      </c>
      <c r="E39" s="107">
        <v>38</v>
      </c>
      <c r="F39" s="91" t="s">
        <v>62</v>
      </c>
      <c r="G39" s="92">
        <f>C43/C35</f>
        <v>0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71</v>
      </c>
      <c r="D41" s="106">
        <v>436.12</v>
      </c>
      <c r="E41" s="107">
        <v>42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0</v>
      </c>
      <c r="D43" s="110" t="s">
        <v>30</v>
      </c>
      <c r="E43" s="140" t="s">
        <v>30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85</v>
      </c>
      <c r="D45" s="89">
        <v>530.76</v>
      </c>
      <c r="E45" s="123">
        <v>93</v>
      </c>
      <c r="F45" s="91" t="s">
        <v>60</v>
      </c>
      <c r="G45" s="92">
        <f>2485056/2517476</f>
        <v>0.98712202221590195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23</v>
      </c>
      <c r="D47" s="96">
        <v>478.82</v>
      </c>
      <c r="E47" s="133">
        <v>111</v>
      </c>
      <c r="F47" s="91" t="s">
        <v>61</v>
      </c>
      <c r="G47" s="92">
        <f>C51/C45</f>
        <v>0.52941176470588236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38</v>
      </c>
      <c r="D49" s="106">
        <v>526.91</v>
      </c>
      <c r="E49" s="107">
        <v>96</v>
      </c>
      <c r="F49" s="91" t="s">
        <v>62</v>
      </c>
      <c r="G49" s="92">
        <f>C53/C45</f>
        <v>4.7058823529411764E-2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45</v>
      </c>
      <c r="D51" s="106">
        <v>500.41</v>
      </c>
      <c r="E51" s="107">
        <v>75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505.23</v>
      </c>
      <c r="E53" s="111">
        <v>95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105</v>
      </c>
      <c r="D55" s="89">
        <v>784.28</v>
      </c>
      <c r="E55" s="123">
        <v>158</v>
      </c>
      <c r="F55" s="91" t="s">
        <v>60</v>
      </c>
      <c r="G55" s="164">
        <f>4194390/4355379</f>
        <v>0.96303674146383123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17</v>
      </c>
      <c r="D57" s="96">
        <v>604.91</v>
      </c>
      <c r="E57" s="133">
        <v>155</v>
      </c>
      <c r="F57" s="91" t="s">
        <v>61</v>
      </c>
      <c r="G57" s="92">
        <f>C61/C55</f>
        <v>0.27619047619047621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33</v>
      </c>
      <c r="D59" s="157">
        <v>745.82</v>
      </c>
      <c r="E59" s="133">
        <v>77</v>
      </c>
      <c r="F59" s="91" t="s">
        <v>62</v>
      </c>
      <c r="G59" s="92">
        <f>C63/C55</f>
        <v>9.5238095238095247E-3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29</v>
      </c>
      <c r="D61" s="157">
        <v>613.91</v>
      </c>
      <c r="E61" s="142">
        <v>154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669.88</v>
      </c>
      <c r="E63" s="163">
        <v>207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150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223B9-0EE8-4260-864F-197C453E33D7}">
  <sheetPr codeName="Sheet16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147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469</v>
      </c>
      <c r="D5" s="89">
        <v>495.12</v>
      </c>
      <c r="E5" s="90">
        <v>68</v>
      </c>
      <c r="F5" s="91" t="s">
        <v>60</v>
      </c>
      <c r="G5" s="92">
        <f>1243812/1245249</f>
        <v>0.99884601392974415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300</v>
      </c>
      <c r="D7" s="96">
        <v>389.22</v>
      </c>
      <c r="E7" s="97">
        <v>58</v>
      </c>
      <c r="F7" s="91" t="s">
        <v>61</v>
      </c>
      <c r="G7" s="92">
        <f>C11/C5</f>
        <v>1.3454157782515992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412</v>
      </c>
      <c r="D9" s="106">
        <v>390.57</v>
      </c>
      <c r="E9" s="107">
        <v>36</v>
      </c>
      <c r="F9" s="91" t="s">
        <v>62</v>
      </c>
      <c r="G9" s="92">
        <f>C13/C5</f>
        <v>3.4115138592750532E-2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631</v>
      </c>
      <c r="D11" s="106">
        <v>379.31</v>
      </c>
      <c r="E11" s="107">
        <v>37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16</v>
      </c>
      <c r="D13" s="110">
        <v>390.63</v>
      </c>
      <c r="E13" s="111">
        <v>82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147</v>
      </c>
      <c r="D15" s="89">
        <v>337.61</v>
      </c>
      <c r="E15" s="90">
        <v>19</v>
      </c>
      <c r="F15" s="91" t="s">
        <v>60</v>
      </c>
      <c r="G15" s="92">
        <f>724014/707102</f>
        <v>1.023917341486801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153</v>
      </c>
      <c r="D17" s="96">
        <v>327.74</v>
      </c>
      <c r="E17" s="97">
        <v>51</v>
      </c>
      <c r="F17" s="91" t="s">
        <v>61</v>
      </c>
      <c r="G17" s="92">
        <f>C21/C15</f>
        <v>2.510204081632653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233</v>
      </c>
      <c r="D19" s="106">
        <v>319.92</v>
      </c>
      <c r="E19" s="107">
        <v>19</v>
      </c>
      <c r="F19" s="91" t="s">
        <v>62</v>
      </c>
      <c r="G19" s="92">
        <f>C23/C15</f>
        <v>4.7619047619047616E-2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369</v>
      </c>
      <c r="D21" s="106">
        <v>331.23</v>
      </c>
      <c r="E21" s="107">
        <v>24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7</v>
      </c>
      <c r="D23" s="110">
        <v>310.18</v>
      </c>
      <c r="E23" s="111">
        <v>68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61</v>
      </c>
      <c r="D25" s="89">
        <v>393.69</v>
      </c>
      <c r="E25" s="123">
        <v>37</v>
      </c>
      <c r="F25" s="91" t="s">
        <v>60</v>
      </c>
      <c r="G25" s="92">
        <f>1249929/1248800</f>
        <v>1.000904067905189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63</v>
      </c>
      <c r="D27" s="96">
        <v>362.92</v>
      </c>
      <c r="E27" s="97">
        <v>34</v>
      </c>
      <c r="F27" s="91" t="s">
        <v>61</v>
      </c>
      <c r="G27" s="92">
        <f>C31/C25</f>
        <v>2.0163934426229506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58</v>
      </c>
      <c r="D29" s="106">
        <v>373.27</v>
      </c>
      <c r="E29" s="107">
        <v>33</v>
      </c>
      <c r="F29" s="91" t="s">
        <v>62</v>
      </c>
      <c r="G29" s="92">
        <f>C33/C25</f>
        <v>4.9180327868852458E-2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123</v>
      </c>
      <c r="D31" s="106">
        <v>378.13</v>
      </c>
      <c r="E31" s="107">
        <v>36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356.17</v>
      </c>
      <c r="E33" s="111">
        <v>53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68</v>
      </c>
      <c r="D35" s="89">
        <v>431.36</v>
      </c>
      <c r="E35" s="123">
        <v>45</v>
      </c>
      <c r="F35" s="91" t="s">
        <v>60</v>
      </c>
      <c r="G35" s="92">
        <f>1734539/1740635</f>
        <v>0.99649782981498136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33</v>
      </c>
      <c r="D37" s="96">
        <v>446.82</v>
      </c>
      <c r="E37" s="133">
        <v>48</v>
      </c>
      <c r="F37" s="91" t="s">
        <v>61</v>
      </c>
      <c r="G37" s="92">
        <f>C41/C35</f>
        <v>0.95588235294117652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41</v>
      </c>
      <c r="D39" s="106">
        <v>427.28</v>
      </c>
      <c r="E39" s="107">
        <v>28</v>
      </c>
      <c r="F39" s="91" t="s">
        <v>62</v>
      </c>
      <c r="G39" s="92">
        <f>C43/C35</f>
        <v>1.4705882352941176E-2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65</v>
      </c>
      <c r="D41" s="106">
        <v>416.74</v>
      </c>
      <c r="E41" s="107">
        <v>42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337.59</v>
      </c>
      <c r="E43" s="140">
        <v>16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77</v>
      </c>
      <c r="D45" s="89">
        <v>528.11</v>
      </c>
      <c r="E45" s="123">
        <v>88</v>
      </c>
      <c r="F45" s="91" t="s">
        <v>60</v>
      </c>
      <c r="G45" s="92">
        <f>2427682/2451778</f>
        <v>0.99017203025722555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28</v>
      </c>
      <c r="D47" s="96">
        <v>528.75</v>
      </c>
      <c r="E47" s="133">
        <v>109</v>
      </c>
      <c r="F47" s="91" t="s">
        <v>61</v>
      </c>
      <c r="G47" s="92">
        <f>C51/C45</f>
        <v>0.53246753246753242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47</v>
      </c>
      <c r="D49" s="106">
        <v>513.91999999999996</v>
      </c>
      <c r="E49" s="107">
        <v>74</v>
      </c>
      <c r="F49" s="91" t="s">
        <v>62</v>
      </c>
      <c r="G49" s="92">
        <f>C53/C45</f>
        <v>5.1948051948051951E-2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41</v>
      </c>
      <c r="D51" s="106">
        <v>519.70000000000005</v>
      </c>
      <c r="E51" s="107">
        <v>75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554.41</v>
      </c>
      <c r="E53" s="111">
        <v>156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116</v>
      </c>
      <c r="D55" s="89">
        <v>764.87</v>
      </c>
      <c r="E55" s="123">
        <v>1448</v>
      </c>
      <c r="F55" s="91" t="s">
        <v>60</v>
      </c>
      <c r="G55" s="164">
        <f>4584655/4774705</f>
        <v>0.9601964938148011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23</v>
      </c>
      <c r="D57" s="96">
        <v>617.70000000000005</v>
      </c>
      <c r="E57" s="133">
        <v>127</v>
      </c>
      <c r="F57" s="91" t="s">
        <v>61</v>
      </c>
      <c r="G57" s="92">
        <f>C61/C55</f>
        <v>0.28448275862068967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33</v>
      </c>
      <c r="D59" s="157">
        <v>698.49</v>
      </c>
      <c r="E59" s="133">
        <v>121</v>
      </c>
      <c r="F59" s="91" t="s">
        <v>62</v>
      </c>
      <c r="G59" s="92">
        <f>C63/C55</f>
        <v>8.6206896551724137E-3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33</v>
      </c>
      <c r="D61" s="157">
        <v>673.05</v>
      </c>
      <c r="E61" s="142">
        <v>138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455.03</v>
      </c>
      <c r="E63" s="163">
        <v>35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148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A8F26-7775-48B3-A558-C2CF044C6B8F}">
  <sheetPr codeName="Sheet17"/>
  <dimension ref="A1:M65"/>
  <sheetViews>
    <sheetView view="pageBreakPreview" topLeftCell="A25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145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486</v>
      </c>
      <c r="D5" s="89">
        <v>480</v>
      </c>
      <c r="E5" s="90">
        <v>63</v>
      </c>
      <c r="F5" s="91" t="s">
        <v>60</v>
      </c>
      <c r="G5" s="92">
        <f>1193659/1190791</f>
        <v>1.0024084831007289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324</v>
      </c>
      <c r="D7" s="96">
        <v>378.26</v>
      </c>
      <c r="E7" s="97">
        <v>64</v>
      </c>
      <c r="F7" s="91" t="s">
        <v>61</v>
      </c>
      <c r="G7" s="92">
        <f>C11/C5</f>
        <v>1.3209876543209877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418</v>
      </c>
      <c r="D9" s="106">
        <v>392.45</v>
      </c>
      <c r="E9" s="107">
        <v>36</v>
      </c>
      <c r="F9" s="91" t="s">
        <v>62</v>
      </c>
      <c r="G9" s="92">
        <f>C13/C5</f>
        <v>1.646090534979424E-2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642</v>
      </c>
      <c r="D11" s="106">
        <v>363.09</v>
      </c>
      <c r="E11" s="107">
        <v>37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8</v>
      </c>
      <c r="D13" s="110">
        <v>440.58</v>
      </c>
      <c r="E13" s="111">
        <v>181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176</v>
      </c>
      <c r="D15" s="89">
        <v>324.70999999999998</v>
      </c>
      <c r="E15" s="90">
        <v>14</v>
      </c>
      <c r="F15" s="91" t="s">
        <v>60</v>
      </c>
      <c r="G15" s="92">
        <f>713303/697583</f>
        <v>1.0225349528299859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176</v>
      </c>
      <c r="D17" s="96">
        <v>314</v>
      </c>
      <c r="E17" s="97">
        <v>46</v>
      </c>
      <c r="F17" s="91" t="s">
        <v>61</v>
      </c>
      <c r="G17" s="92">
        <f>C21/C15</f>
        <v>2.2727272727272729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220</v>
      </c>
      <c r="D19" s="106">
        <v>320.70999999999998</v>
      </c>
      <c r="E19" s="107">
        <v>17</v>
      </c>
      <c r="F19" s="91" t="s">
        <v>62</v>
      </c>
      <c r="G19" s="92">
        <f>C23/C15</f>
        <v>1.7045454545454544E-2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400</v>
      </c>
      <c r="D21" s="106">
        <v>323.45999999999998</v>
      </c>
      <c r="E21" s="107">
        <v>26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</v>
      </c>
      <c r="D23" s="110">
        <v>266.95999999999998</v>
      </c>
      <c r="E23" s="111">
        <v>41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57</v>
      </c>
      <c r="D25" s="89">
        <v>392.19</v>
      </c>
      <c r="E25" s="123">
        <v>33</v>
      </c>
      <c r="F25" s="91" t="s">
        <v>60</v>
      </c>
      <c r="G25" s="92">
        <f>1270572/1260780</f>
        <v>1.0077666206633988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63</v>
      </c>
      <c r="D27" s="96">
        <v>368.33</v>
      </c>
      <c r="E27" s="97">
        <v>39</v>
      </c>
      <c r="F27" s="91" t="s">
        <v>61</v>
      </c>
      <c r="G27" s="92">
        <f>C31/C25</f>
        <v>1.9298245614035088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87</v>
      </c>
      <c r="D29" s="106">
        <v>369.63</v>
      </c>
      <c r="E29" s="107">
        <v>31</v>
      </c>
      <c r="F29" s="91" t="s">
        <v>62</v>
      </c>
      <c r="G29" s="92">
        <f>C33/C25</f>
        <v>3.5087719298245612E-2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110</v>
      </c>
      <c r="D31" s="106">
        <v>355.53</v>
      </c>
      <c r="E31" s="107">
        <v>33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2</v>
      </c>
      <c r="D33" s="110">
        <v>322.87</v>
      </c>
      <c r="E33" s="111">
        <v>27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54</v>
      </c>
      <c r="D35" s="89">
        <v>445.87</v>
      </c>
      <c r="E35" s="123">
        <v>51</v>
      </c>
      <c r="F35" s="91" t="s">
        <v>60</v>
      </c>
      <c r="G35" s="92">
        <f>1735200/1732000</f>
        <v>1.0018475750577367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28</v>
      </c>
      <c r="D37" s="96">
        <v>423.49</v>
      </c>
      <c r="E37" s="133">
        <v>76</v>
      </c>
      <c r="F37" s="91" t="s">
        <v>61</v>
      </c>
      <c r="G37" s="92">
        <f>C41/C35</f>
        <v>0.92592592592592593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40</v>
      </c>
      <c r="D39" s="106">
        <v>424.76</v>
      </c>
      <c r="E39" s="107">
        <v>30</v>
      </c>
      <c r="F39" s="91" t="s">
        <v>62</v>
      </c>
      <c r="G39" s="92">
        <f>C43/C35</f>
        <v>1.8518518518518517E-2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50</v>
      </c>
      <c r="D41" s="106">
        <v>413.27</v>
      </c>
      <c r="E41" s="107">
        <v>60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479.66</v>
      </c>
      <c r="E43" s="140">
        <v>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79</v>
      </c>
      <c r="D45" s="89">
        <v>504.8</v>
      </c>
      <c r="E45" s="123">
        <v>97</v>
      </c>
      <c r="F45" s="91" t="s">
        <v>60</v>
      </c>
      <c r="G45" s="92">
        <f>2485383/2493607</f>
        <v>0.99670196626814089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27</v>
      </c>
      <c r="D47" s="96">
        <v>485.57</v>
      </c>
      <c r="E47" s="133">
        <v>115</v>
      </c>
      <c r="F47" s="91" t="s">
        <v>61</v>
      </c>
      <c r="G47" s="92">
        <f>C51/C45</f>
        <v>0.74683544303797467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46</v>
      </c>
      <c r="D49" s="106">
        <v>550.77</v>
      </c>
      <c r="E49" s="107">
        <v>81</v>
      </c>
      <c r="F49" s="91" t="s">
        <v>62</v>
      </c>
      <c r="G49" s="92">
        <f>C53/C45</f>
        <v>0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59</v>
      </c>
      <c r="D51" s="106">
        <v>475.43</v>
      </c>
      <c r="E51" s="107">
        <v>84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119</v>
      </c>
      <c r="D55" s="89">
        <v>751.82</v>
      </c>
      <c r="E55" s="123">
        <v>134</v>
      </c>
      <c r="F55" s="91" t="s">
        <v>60</v>
      </c>
      <c r="G55" s="164">
        <f>4688998/4915056</f>
        <v>0.95400703471130344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30</v>
      </c>
      <c r="D57" s="96">
        <v>637.36</v>
      </c>
      <c r="E57" s="133">
        <v>166</v>
      </c>
      <c r="F57" s="91" t="s">
        <v>61</v>
      </c>
      <c r="G57" s="92">
        <f>C61/C55</f>
        <v>0.19327731092436976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26</v>
      </c>
      <c r="D59" s="157">
        <v>744.42</v>
      </c>
      <c r="E59" s="133">
        <v>139</v>
      </c>
      <c r="F59" s="91" t="s">
        <v>62</v>
      </c>
      <c r="G59" s="92">
        <f>C63/C55</f>
        <v>1.680672268907563E-2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23</v>
      </c>
      <c r="D61" s="157">
        <v>691.05</v>
      </c>
      <c r="E61" s="142">
        <v>72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799.21</v>
      </c>
      <c r="E63" s="163">
        <v>635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146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0E1DE-E19A-4FE8-8FA2-917DC22BD061}">
  <dimension ref="A1:M65"/>
  <sheetViews>
    <sheetView view="pageBreakPreview" zoomScaleNormal="100" zoomScaleSheetLayoutView="100" workbookViewId="0">
      <selection activeCell="I31" sqref="I31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9.269531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9" ht="17.5" x14ac:dyDescent="0.35">
      <c r="A1" s="72" t="s">
        <v>227</v>
      </c>
      <c r="B1" s="171"/>
      <c r="C1" s="73"/>
      <c r="D1" s="74"/>
      <c r="E1" s="74"/>
      <c r="F1" s="74"/>
      <c r="G1" s="75"/>
    </row>
    <row r="2" spans="1:9" ht="17.5" x14ac:dyDescent="0.35">
      <c r="A2" s="76" t="s">
        <v>54</v>
      </c>
      <c r="B2" s="1"/>
      <c r="G2" s="77"/>
    </row>
    <row r="3" spans="1:9" ht="16" thickBot="1" x14ac:dyDescent="0.4">
      <c r="A3" s="78"/>
      <c r="B3" s="79"/>
      <c r="E3" t="s">
        <v>55</v>
      </c>
      <c r="G3" s="80"/>
    </row>
    <row r="4" spans="1:9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9" ht="15.5" x14ac:dyDescent="0.35">
      <c r="A5" s="78" t="s">
        <v>1</v>
      </c>
      <c r="B5" s="87" t="s">
        <v>28</v>
      </c>
      <c r="C5" s="88">
        <v>1234</v>
      </c>
      <c r="D5" s="177">
        <v>592.36</v>
      </c>
      <c r="E5" s="90">
        <v>102</v>
      </c>
      <c r="F5" s="91" t="s">
        <v>60</v>
      </c>
      <c r="G5" s="92">
        <f>1551865/1602424</f>
        <v>0.96844842563516276</v>
      </c>
      <c r="I5" s="178">
        <v>3191168322</v>
      </c>
    </row>
    <row r="6" spans="1:9" ht="5.25" customHeight="1" x14ac:dyDescent="0.35">
      <c r="A6" s="78"/>
      <c r="B6" s="93"/>
      <c r="C6" s="93"/>
      <c r="D6" s="166"/>
      <c r="E6" s="161"/>
      <c r="F6" s="26"/>
      <c r="G6" s="80"/>
      <c r="I6" s="178"/>
    </row>
    <row r="7" spans="1:9" ht="15.5" x14ac:dyDescent="0.35">
      <c r="A7" s="78"/>
      <c r="B7" s="94" t="s">
        <v>31</v>
      </c>
      <c r="C7" s="95">
        <v>245</v>
      </c>
      <c r="D7" s="167">
        <v>680.18</v>
      </c>
      <c r="E7" s="97">
        <v>93</v>
      </c>
      <c r="F7" s="91" t="s">
        <v>61</v>
      </c>
      <c r="G7" s="92">
        <f>C11/C5</f>
        <v>0.27957860615883307</v>
      </c>
      <c r="I7" s="178">
        <f>I5/1234</f>
        <v>2586035.9173419774</v>
      </c>
    </row>
    <row r="8" spans="1:9" ht="6" customHeight="1" x14ac:dyDescent="0.35">
      <c r="A8" s="78"/>
      <c r="B8" s="93"/>
      <c r="C8" s="98"/>
      <c r="D8" s="168"/>
      <c r="E8" s="100"/>
      <c r="F8" s="101"/>
      <c r="G8" s="102"/>
      <c r="I8" s="178"/>
    </row>
    <row r="9" spans="1:9" ht="15.5" x14ac:dyDescent="0.35">
      <c r="A9" s="103"/>
      <c r="B9" s="104" t="s">
        <v>32</v>
      </c>
      <c r="C9" s="105">
        <v>261</v>
      </c>
      <c r="D9" s="169">
        <v>547.47</v>
      </c>
      <c r="E9" s="107">
        <v>79</v>
      </c>
      <c r="F9" s="91" t="s">
        <v>62</v>
      </c>
      <c r="G9" s="92">
        <f>C13/C5</f>
        <v>2.5121555915721232E-2</v>
      </c>
      <c r="I9" s="178">
        <f>I7/3802</f>
        <v>680.17777941661689</v>
      </c>
    </row>
    <row r="10" spans="1:9" ht="6" customHeight="1" x14ac:dyDescent="0.35">
      <c r="A10" s="78"/>
      <c r="B10" s="93"/>
      <c r="C10" s="98"/>
      <c r="D10" s="168"/>
      <c r="E10" s="100"/>
      <c r="G10" s="77"/>
    </row>
    <row r="11" spans="1:9" ht="15.5" x14ac:dyDescent="0.35">
      <c r="A11" s="103"/>
      <c r="B11" s="104" t="s">
        <v>33</v>
      </c>
      <c r="C11" s="105">
        <v>345</v>
      </c>
      <c r="D11" s="169">
        <v>496.82</v>
      </c>
      <c r="E11" s="107">
        <v>69</v>
      </c>
      <c r="G11" s="77"/>
    </row>
    <row r="12" spans="1:9" ht="6" customHeight="1" x14ac:dyDescent="0.35">
      <c r="A12" s="78"/>
      <c r="B12" s="93"/>
      <c r="C12" s="98"/>
      <c r="D12" s="168"/>
      <c r="E12" s="100"/>
      <c r="F12" s="101"/>
      <c r="G12" s="102"/>
    </row>
    <row r="13" spans="1:9" ht="16" thickBot="1" x14ac:dyDescent="0.4">
      <c r="A13" s="103"/>
      <c r="B13" s="108" t="s">
        <v>63</v>
      </c>
      <c r="C13" s="109">
        <v>31</v>
      </c>
      <c r="D13" s="170">
        <v>569.48</v>
      </c>
      <c r="E13" s="111">
        <v>132</v>
      </c>
      <c r="F13" s="112"/>
      <c r="G13" s="113"/>
    </row>
    <row r="14" spans="1:9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9" ht="15.5" x14ac:dyDescent="0.35">
      <c r="A15" s="78" t="s">
        <v>38</v>
      </c>
      <c r="B15" s="87" t="s">
        <v>28</v>
      </c>
      <c r="C15" s="88">
        <v>307</v>
      </c>
      <c r="D15" s="89">
        <v>402.79</v>
      </c>
      <c r="E15" s="90">
        <v>75</v>
      </c>
      <c r="F15" s="91" t="s">
        <v>60</v>
      </c>
      <c r="G15" s="92">
        <f>759209/772129</f>
        <v>0.98326704475547477</v>
      </c>
    </row>
    <row r="16" spans="1:9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81</v>
      </c>
      <c r="D17" s="96">
        <v>396.11</v>
      </c>
      <c r="E17" s="97">
        <v>72</v>
      </c>
      <c r="F17" s="91" t="s">
        <v>61</v>
      </c>
      <c r="G17" s="92">
        <f>C21/C15</f>
        <v>0.48534201954397393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87</v>
      </c>
      <c r="D19" s="106">
        <v>393.7</v>
      </c>
      <c r="E19" s="107">
        <v>82</v>
      </c>
      <c r="F19" s="91" t="s">
        <v>62</v>
      </c>
      <c r="G19" s="92">
        <f>C23/C15</f>
        <v>3.5830618892508145E-2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149</v>
      </c>
      <c r="D21" s="106">
        <v>394.84</v>
      </c>
      <c r="E21" s="107">
        <v>55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11</v>
      </c>
      <c r="D23" s="110">
        <v>422.69</v>
      </c>
      <c r="E23" s="111">
        <v>120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248</v>
      </c>
      <c r="D25" s="96">
        <v>463.36</v>
      </c>
      <c r="E25" s="90">
        <v>82</v>
      </c>
      <c r="F25" s="91" t="s">
        <v>60</v>
      </c>
      <c r="G25" s="92">
        <f>1217406/1255663</f>
        <v>0.96953243027786917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61</v>
      </c>
      <c r="D27" s="106">
        <v>451.5</v>
      </c>
      <c r="E27" s="97">
        <v>85</v>
      </c>
      <c r="F27" s="91" t="s">
        <v>61</v>
      </c>
      <c r="G27" s="92">
        <f>C31/C25</f>
        <v>0.28225806451612906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55</v>
      </c>
      <c r="D29" s="96">
        <v>463.82</v>
      </c>
      <c r="E29" s="107">
        <v>47</v>
      </c>
      <c r="F29" s="91" t="s">
        <v>62</v>
      </c>
      <c r="G29" s="92">
        <v>0.7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70</v>
      </c>
      <c r="D31" s="106">
        <v>429.63</v>
      </c>
      <c r="E31" s="107">
        <v>73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5</v>
      </c>
      <c r="D33" s="110">
        <v>462.02</v>
      </c>
      <c r="E33" s="111">
        <v>111</v>
      </c>
      <c r="F33" s="173"/>
      <c r="G33" s="113"/>
    </row>
    <row r="34" spans="1:13" ht="5.25" customHeight="1" thickBot="1" x14ac:dyDescent="0.4">
      <c r="A34" s="85"/>
      <c r="B34" s="127"/>
      <c r="C34" s="128"/>
      <c r="D34" s="114"/>
      <c r="E34" s="130"/>
      <c r="F34" s="175"/>
      <c r="G34" s="119"/>
    </row>
    <row r="35" spans="1:13" ht="15.5" x14ac:dyDescent="0.35">
      <c r="A35" s="122" t="s">
        <v>66</v>
      </c>
      <c r="B35" s="87" t="s">
        <v>28</v>
      </c>
      <c r="C35" s="88">
        <v>174</v>
      </c>
      <c r="D35" s="176">
        <v>509.75</v>
      </c>
      <c r="E35" s="90">
        <v>90</v>
      </c>
      <c r="F35" s="91" t="s">
        <v>60</v>
      </c>
      <c r="G35" s="92">
        <f>1687363/1746720</f>
        <v>0.96601802235046264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32</v>
      </c>
      <c r="D37" s="106">
        <v>495.65</v>
      </c>
      <c r="E37" s="97">
        <v>68</v>
      </c>
      <c r="F37" s="91" t="s">
        <v>61</v>
      </c>
      <c r="G37" s="92">
        <f>C41/C35</f>
        <v>0.27011494252873564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26</v>
      </c>
      <c r="D39" s="96">
        <v>553.71</v>
      </c>
      <c r="E39" s="107">
        <v>48</v>
      </c>
      <c r="F39" s="91" t="s">
        <v>62</v>
      </c>
      <c r="G39" s="92">
        <f>C43/C35</f>
        <v>2.2988505747126436E-2</v>
      </c>
      <c r="H39" s="134"/>
      <c r="I39" s="135">
        <v>55258889</v>
      </c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47</v>
      </c>
      <c r="D41" s="106">
        <v>508.56</v>
      </c>
      <c r="E41" s="107">
        <v>78</v>
      </c>
      <c r="F41" s="26"/>
      <c r="G41" s="80"/>
      <c r="H41" s="137"/>
      <c r="I41" s="135">
        <f>I39/32</f>
        <v>1726840.28125</v>
      </c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513.88</v>
      </c>
      <c r="E43" s="111">
        <v>108</v>
      </c>
      <c r="F43" s="173"/>
      <c r="G43" s="113"/>
      <c r="H43" s="137"/>
      <c r="I43" s="135">
        <f>I41/3484</f>
        <v>495.64876040470722</v>
      </c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75"/>
      <c r="G44" s="119"/>
    </row>
    <row r="45" spans="1:13" ht="15.5" x14ac:dyDescent="0.35">
      <c r="A45" s="122" t="s">
        <v>67</v>
      </c>
      <c r="B45" s="87" t="s">
        <v>28</v>
      </c>
      <c r="C45" s="88">
        <v>204</v>
      </c>
      <c r="D45" s="96">
        <v>622.41999999999996</v>
      </c>
      <c r="E45" s="90">
        <v>106</v>
      </c>
      <c r="F45" s="91" t="s">
        <v>60</v>
      </c>
      <c r="G45" s="92">
        <f>2459308/2546109</f>
        <v>0.96590837234383919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38</v>
      </c>
      <c r="D47" s="106">
        <v>586.51</v>
      </c>
      <c r="E47" s="97">
        <v>108</v>
      </c>
      <c r="F47" s="91" t="s">
        <v>61</v>
      </c>
      <c r="G47" s="92">
        <f>C51/C45</f>
        <v>0.2107843137254902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50</v>
      </c>
      <c r="D49" s="96">
        <v>621.94000000000005</v>
      </c>
      <c r="E49" s="107">
        <v>115</v>
      </c>
      <c r="F49" s="91" t="s">
        <v>62</v>
      </c>
      <c r="G49" s="92">
        <f>C53/C45</f>
        <v>2.4509803921568627E-2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43</v>
      </c>
      <c r="D51" s="106">
        <v>590.97</v>
      </c>
      <c r="E51" s="107">
        <v>70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573.96</v>
      </c>
      <c r="E53" s="111">
        <v>131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300</v>
      </c>
      <c r="D55" s="89">
        <v>920.79</v>
      </c>
      <c r="E55" s="123">
        <v>148</v>
      </c>
      <c r="F55" s="91" t="s">
        <v>60</v>
      </c>
      <c r="G55" s="164">
        <f>4222131/4397619</f>
        <v>0.96009476946502181</v>
      </c>
      <c r="H55" s="49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34</v>
      </c>
      <c r="D57" s="96">
        <v>815.56</v>
      </c>
      <c r="E57" s="133">
        <v>164</v>
      </c>
      <c r="F57" s="91" t="s">
        <v>61</v>
      </c>
      <c r="G57" s="92">
        <f>C61/C55</f>
        <v>0.12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43</v>
      </c>
      <c r="D59" s="106">
        <v>875.2</v>
      </c>
      <c r="E59" s="107">
        <v>90</v>
      </c>
      <c r="F59" s="91" t="s">
        <v>62</v>
      </c>
      <c r="G59" s="92">
        <f>C63/C55</f>
        <v>0.02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36</v>
      </c>
      <c r="D61" s="106">
        <v>788.64</v>
      </c>
      <c r="E61" s="107">
        <v>107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961.46</v>
      </c>
      <c r="E63" s="111">
        <v>187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228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87975-10AD-4AF6-B911-56F24BF25B24}">
  <sheetPr codeName="Sheet18"/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143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411</v>
      </c>
      <c r="D5" s="89">
        <v>499.44</v>
      </c>
      <c r="E5" s="90">
        <v>83</v>
      </c>
      <c r="F5" s="91" t="s">
        <v>60</v>
      </c>
      <c r="G5" s="92">
        <f>1205228/1214396</f>
        <v>0.99245056801899878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343</v>
      </c>
      <c r="D7" s="96">
        <v>376.8</v>
      </c>
      <c r="E7" s="97">
        <v>58</v>
      </c>
      <c r="F7" s="91" t="s">
        <v>61</v>
      </c>
      <c r="G7" s="92">
        <f>C11/C5</f>
        <v>1.5669099756690998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426</v>
      </c>
      <c r="D9" s="106">
        <v>384.56</v>
      </c>
      <c r="E9" s="107">
        <v>41</v>
      </c>
      <c r="F9" s="91" t="s">
        <v>62</v>
      </c>
      <c r="G9" s="92">
        <f>C13/C5</f>
        <v>1.9464720194647202E-2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644</v>
      </c>
      <c r="D11" s="106">
        <v>349.62</v>
      </c>
      <c r="E11" s="107">
        <v>54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8</v>
      </c>
      <c r="D13" s="110">
        <v>481.43</v>
      </c>
      <c r="E13" s="111">
        <v>65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119</v>
      </c>
      <c r="D15" s="89">
        <v>317.02</v>
      </c>
      <c r="E15" s="90">
        <v>21</v>
      </c>
      <c r="F15" s="91" t="s">
        <v>60</v>
      </c>
      <c r="G15" s="92">
        <f>712930/702937</f>
        <v>1.0142160677272642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180</v>
      </c>
      <c r="D17" s="96">
        <v>313.55</v>
      </c>
      <c r="E17" s="97">
        <v>42</v>
      </c>
      <c r="F17" s="91" t="s">
        <v>61</v>
      </c>
      <c r="G17" s="92">
        <f>C21/C15</f>
        <v>3.3613445378151261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232</v>
      </c>
      <c r="D19" s="106">
        <v>310.13</v>
      </c>
      <c r="E19" s="107">
        <v>22</v>
      </c>
      <c r="F19" s="91" t="s">
        <v>62</v>
      </c>
      <c r="G19" s="92">
        <f>C23/C15</f>
        <v>3.3613445378151259E-2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400</v>
      </c>
      <c r="D21" s="106">
        <v>308.55</v>
      </c>
      <c r="E21" s="107">
        <v>40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4</v>
      </c>
      <c r="D23" s="110">
        <v>445.57</v>
      </c>
      <c r="E23" s="111">
        <v>59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52</v>
      </c>
      <c r="D25" s="89">
        <v>383.28</v>
      </c>
      <c r="E25" s="123">
        <v>32</v>
      </c>
      <c r="F25" s="91" t="s">
        <v>60</v>
      </c>
      <c r="G25" s="92">
        <f>1248559/1253641</f>
        <v>0.99594620788567056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66</v>
      </c>
      <c r="D27" s="96">
        <v>356.33</v>
      </c>
      <c r="E27" s="97">
        <v>40</v>
      </c>
      <c r="F27" s="91" t="s">
        <v>61</v>
      </c>
      <c r="G27" s="92">
        <f>C31/C25</f>
        <v>2.1346153846153846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73</v>
      </c>
      <c r="D29" s="106">
        <v>344.18</v>
      </c>
      <c r="E29" s="107">
        <v>34</v>
      </c>
      <c r="F29" s="91" t="s">
        <v>62</v>
      </c>
      <c r="G29" s="92">
        <f>C33/C25</f>
        <v>3.8461538461538464E-2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111</v>
      </c>
      <c r="D31" s="106">
        <v>339.57</v>
      </c>
      <c r="E31" s="107">
        <v>47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2</v>
      </c>
      <c r="D33" s="110">
        <v>331.96</v>
      </c>
      <c r="E33" s="111">
        <v>38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46</v>
      </c>
      <c r="D35" s="89">
        <v>430.42</v>
      </c>
      <c r="E35" s="123">
        <v>85</v>
      </c>
      <c r="F35" s="91" t="s">
        <v>60</v>
      </c>
      <c r="G35" s="92">
        <f>1701089/1728556</f>
        <v>0.9841098581706349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36</v>
      </c>
      <c r="D37" s="96">
        <v>399.91</v>
      </c>
      <c r="E37" s="133">
        <v>72</v>
      </c>
      <c r="F37" s="91" t="s">
        <v>61</v>
      </c>
      <c r="G37" s="92">
        <f>C41/C35</f>
        <v>1.2608695652173914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38</v>
      </c>
      <c r="D39" s="106">
        <v>436.13</v>
      </c>
      <c r="E39" s="107">
        <v>47</v>
      </c>
      <c r="F39" s="91" t="s">
        <v>62</v>
      </c>
      <c r="G39" s="92">
        <f>C43/C35</f>
        <v>0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58</v>
      </c>
      <c r="D41" s="106">
        <v>380.61</v>
      </c>
      <c r="E41" s="107">
        <v>93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0</v>
      </c>
      <c r="D43" s="110">
        <v>0</v>
      </c>
      <c r="E43" s="140" t="s">
        <v>30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80</v>
      </c>
      <c r="D45" s="89">
        <v>515.99</v>
      </c>
      <c r="E45" s="123">
        <v>101</v>
      </c>
      <c r="F45" s="91" t="s">
        <v>60</v>
      </c>
      <c r="G45" s="92">
        <f>2239685/2388884</f>
        <v>0.93754447683520836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39</v>
      </c>
      <c r="D47" s="96">
        <v>497.21</v>
      </c>
      <c r="E47" s="133">
        <v>119</v>
      </c>
      <c r="F47" s="91" t="s">
        <v>61</v>
      </c>
      <c r="G47" s="92">
        <f>C51/C45</f>
        <v>0.53749999999999998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53</v>
      </c>
      <c r="D49" s="106">
        <v>524.74</v>
      </c>
      <c r="E49" s="107">
        <v>97</v>
      </c>
      <c r="F49" s="91" t="s">
        <v>62</v>
      </c>
      <c r="G49" s="92">
        <f>C53/C45</f>
        <v>1.2500000000000001E-2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43</v>
      </c>
      <c r="D51" s="106">
        <v>450.69</v>
      </c>
      <c r="E51" s="107">
        <v>115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404.41</v>
      </c>
      <c r="E53" s="111">
        <v>27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114</v>
      </c>
      <c r="D55" s="89">
        <v>759.08</v>
      </c>
      <c r="E55" s="123">
        <v>159</v>
      </c>
      <c r="F55" s="91" t="s">
        <v>60</v>
      </c>
      <c r="G55" s="164">
        <f>4785491/4961375</f>
        <v>0.9645493436799274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22</v>
      </c>
      <c r="D57" s="96">
        <v>704.48</v>
      </c>
      <c r="E57" s="133">
        <v>105</v>
      </c>
      <c r="F57" s="91" t="s">
        <v>61</v>
      </c>
      <c r="G57" s="92">
        <f>C61/C55</f>
        <v>0.2807017543859649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30</v>
      </c>
      <c r="D59" s="157">
        <v>745.34</v>
      </c>
      <c r="E59" s="133">
        <v>107</v>
      </c>
      <c r="F59" s="91" t="s">
        <v>62</v>
      </c>
      <c r="G59" s="92">
        <f>C63/C55</f>
        <v>8.771929824561403E-3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32</v>
      </c>
      <c r="D61" s="157">
        <v>705.76</v>
      </c>
      <c r="E61" s="142">
        <v>103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1000.83</v>
      </c>
      <c r="E63" s="142">
        <v>182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144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34F8-AA7C-4024-8E85-9ACAD539FB6E}">
  <sheetPr codeName="Sheet19"/>
  <dimension ref="A1:M65"/>
  <sheetViews>
    <sheetView view="pageBreakPreview" zoomScaleNormal="100" zoomScaleSheetLayoutView="100" workbookViewId="0">
      <selection activeCell="K28" sqref="K28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141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414</v>
      </c>
      <c r="D5" s="89">
        <v>491.02</v>
      </c>
      <c r="E5" s="90">
        <v>94</v>
      </c>
      <c r="F5" s="91" t="s">
        <v>60</v>
      </c>
      <c r="G5" s="92">
        <f>1158116/1197245</f>
        <v>0.96731746634982818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321</v>
      </c>
      <c r="D7" s="96">
        <v>364.22</v>
      </c>
      <c r="E7" s="97">
        <v>70</v>
      </c>
      <c r="F7" s="91" t="s">
        <v>61</v>
      </c>
      <c r="G7" s="92">
        <f>C11/C5</f>
        <v>1.3502415458937198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425</v>
      </c>
      <c r="D9" s="106">
        <v>366.83</v>
      </c>
      <c r="E9" s="107">
        <v>53</v>
      </c>
      <c r="F9" s="91" t="s">
        <v>62</v>
      </c>
      <c r="G9" s="92">
        <f>C13/C5</f>
        <v>2.4154589371980676E-2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559</v>
      </c>
      <c r="D11" s="106">
        <v>338.21</v>
      </c>
      <c r="E11" s="107">
        <v>61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10</v>
      </c>
      <c r="D13" s="110">
        <v>424.02</v>
      </c>
      <c r="E13" s="111">
        <v>184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113</v>
      </c>
      <c r="D15" s="89">
        <v>306.81</v>
      </c>
      <c r="E15" s="90">
        <v>26</v>
      </c>
      <c r="F15" s="91" t="s">
        <v>60</v>
      </c>
      <c r="G15" s="92">
        <f>661226/661911</f>
        <v>0.99896511766687668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183</v>
      </c>
      <c r="D17" s="96">
        <v>304.8</v>
      </c>
      <c r="E17" s="97">
        <v>58</v>
      </c>
      <c r="F17" s="91" t="s">
        <v>61</v>
      </c>
      <c r="G17" s="92">
        <f>C21/C15</f>
        <v>3.0973451327433628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239</v>
      </c>
      <c r="D19" s="106">
        <v>298.60000000000002</v>
      </c>
      <c r="E19" s="107">
        <v>36</v>
      </c>
      <c r="F19" s="91" t="s">
        <v>62</v>
      </c>
      <c r="G19" s="92">
        <f>C23/C15</f>
        <v>1.7699115044247787E-2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350</v>
      </c>
      <c r="D21" s="106">
        <v>299.22000000000003</v>
      </c>
      <c r="E21" s="107">
        <v>42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</v>
      </c>
      <c r="D23" s="110">
        <v>316.10000000000002</v>
      </c>
      <c r="E23" s="111">
        <v>13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50</v>
      </c>
      <c r="D25" s="89">
        <v>349.6</v>
      </c>
      <c r="E25" s="123">
        <v>54</v>
      </c>
      <c r="F25" s="91" t="s">
        <v>60</v>
      </c>
      <c r="G25" s="92">
        <f>1200899/1227740</f>
        <v>0.97813787935556384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52</v>
      </c>
      <c r="D27" s="96">
        <v>344.96</v>
      </c>
      <c r="E27" s="97">
        <v>66</v>
      </c>
      <c r="F27" s="91" t="s">
        <v>61</v>
      </c>
      <c r="G27" s="92">
        <f>C31/C25</f>
        <v>1.96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70</v>
      </c>
      <c r="D29" s="106">
        <v>339.1</v>
      </c>
      <c r="E29" s="107">
        <v>31</v>
      </c>
      <c r="F29" s="91" t="s">
        <v>62</v>
      </c>
      <c r="G29" s="92">
        <f>C33/C25</f>
        <v>0.06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98</v>
      </c>
      <c r="D31" s="106">
        <v>339.29</v>
      </c>
      <c r="E31" s="107">
        <v>62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310.67</v>
      </c>
      <c r="E33" s="111">
        <v>13</v>
      </c>
      <c r="F33" s="101"/>
      <c r="G33" s="102"/>
    </row>
    <row r="34" spans="1:13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46</v>
      </c>
      <c r="D35" s="89">
        <v>429.48</v>
      </c>
      <c r="E35" s="123">
        <v>85</v>
      </c>
      <c r="F35" s="91" t="s">
        <v>60</v>
      </c>
      <c r="G35" s="92">
        <f>1711673/1759682</f>
        <v>0.97271722959034645</v>
      </c>
    </row>
    <row r="36" spans="1:13" ht="6" customHeight="1" x14ac:dyDescent="0.35">
      <c r="A36" s="78"/>
      <c r="B36" s="93"/>
      <c r="C36" s="98"/>
      <c r="D36" s="99"/>
      <c r="E36" s="100"/>
      <c r="F36" s="26"/>
      <c r="G36" s="80"/>
    </row>
    <row r="37" spans="1:13" ht="15.5" x14ac:dyDescent="0.35">
      <c r="A37" s="78"/>
      <c r="B37" s="94" t="s">
        <v>31</v>
      </c>
      <c r="C37" s="95">
        <v>31</v>
      </c>
      <c r="D37" s="96">
        <v>378.67</v>
      </c>
      <c r="E37" s="133">
        <v>91</v>
      </c>
      <c r="F37" s="91" t="s">
        <v>61</v>
      </c>
      <c r="G37" s="92">
        <f>C41/C35</f>
        <v>1.0652173913043479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45</v>
      </c>
      <c r="D39" s="106">
        <v>413.77</v>
      </c>
      <c r="E39" s="107">
        <v>84</v>
      </c>
      <c r="F39" s="91" t="s">
        <v>62</v>
      </c>
      <c r="G39" s="92">
        <f>C43/C35</f>
        <v>4.3478260869565216E-2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49</v>
      </c>
      <c r="D41" s="106">
        <v>369.72</v>
      </c>
      <c r="E41" s="107">
        <v>125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2</v>
      </c>
      <c r="D43" s="110">
        <v>367</v>
      </c>
      <c r="E43" s="140">
        <v>177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99</v>
      </c>
      <c r="D45" s="89">
        <v>509.7</v>
      </c>
      <c r="E45" s="123">
        <v>133</v>
      </c>
      <c r="F45" s="91" t="s">
        <v>60</v>
      </c>
      <c r="G45" s="92">
        <f>2303083/2410510</f>
        <v>0.95543391232560748</v>
      </c>
      <c r="H45" s="137"/>
    </row>
    <row r="46" spans="1:13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3" ht="15.5" x14ac:dyDescent="0.35">
      <c r="A47" s="78"/>
      <c r="B47" s="94" t="s">
        <v>31</v>
      </c>
      <c r="C47" s="95">
        <v>34</v>
      </c>
      <c r="D47" s="96">
        <v>481.54</v>
      </c>
      <c r="E47" s="133">
        <v>94</v>
      </c>
      <c r="F47" s="91" t="s">
        <v>61</v>
      </c>
      <c r="G47" s="92">
        <f>C51/C45</f>
        <v>0.30303030303030304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44</v>
      </c>
      <c r="D49" s="106">
        <v>494.81</v>
      </c>
      <c r="E49" s="107">
        <v>106</v>
      </c>
      <c r="F49" s="91" t="s">
        <v>62</v>
      </c>
      <c r="G49" s="92">
        <f>C53/C45</f>
        <v>2.0202020202020204E-2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30</v>
      </c>
      <c r="D51" s="106">
        <v>441.6</v>
      </c>
      <c r="E51" s="107">
        <v>111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527.66</v>
      </c>
      <c r="E53" s="111">
        <v>367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106</v>
      </c>
      <c r="D55" s="89">
        <v>763.36</v>
      </c>
      <c r="E55" s="123">
        <v>154</v>
      </c>
      <c r="F55" s="91" t="s">
        <v>60</v>
      </c>
      <c r="G55" s="164">
        <f>4540781/4960403</f>
        <v>0.91540566361241216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21</v>
      </c>
      <c r="D57" s="96">
        <v>718.48</v>
      </c>
      <c r="E57" s="133">
        <v>124</v>
      </c>
      <c r="F57" s="91" t="s">
        <v>61</v>
      </c>
      <c r="G57" s="92">
        <f>C61/C55</f>
        <v>0.30188679245283018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27</v>
      </c>
      <c r="D59" s="157">
        <v>755.94</v>
      </c>
      <c r="E59" s="133">
        <v>119</v>
      </c>
      <c r="F59" s="91" t="s">
        <v>62</v>
      </c>
      <c r="G59" s="92">
        <f>C63/C55</f>
        <v>9.433962264150943E-3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32</v>
      </c>
      <c r="D61" s="157">
        <v>616.19000000000005</v>
      </c>
      <c r="E61" s="142">
        <v>121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886.67</v>
      </c>
      <c r="E63" s="142">
        <v>687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142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E6FBF-9E4D-455A-BBE5-85EE95C068D3}">
  <sheetPr codeName="Sheet20"/>
  <dimension ref="A1:K65"/>
  <sheetViews>
    <sheetView view="pageBreakPreview" zoomScaleNormal="100" zoomScaleSheetLayoutView="100" workbookViewId="0">
      <selection activeCell="M43" sqref="M4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139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481</v>
      </c>
      <c r="D5" s="89">
        <v>465.23</v>
      </c>
      <c r="E5" s="90">
        <v>107</v>
      </c>
      <c r="F5" s="91" t="s">
        <v>60</v>
      </c>
      <c r="G5" s="92">
        <f>1104595/1134264</f>
        <v>0.97384295014211864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369</v>
      </c>
      <c r="D7" s="96">
        <v>354.77</v>
      </c>
      <c r="E7" s="97">
        <v>69</v>
      </c>
      <c r="F7" s="91" t="s">
        <v>61</v>
      </c>
      <c r="G7" s="92">
        <f>C11/C5</f>
        <v>1.0332640332640333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391</v>
      </c>
      <c r="D9" s="106">
        <v>353.78</v>
      </c>
      <c r="E9" s="107">
        <v>56</v>
      </c>
      <c r="F9" s="91" t="s">
        <v>62</v>
      </c>
      <c r="G9" s="92">
        <f>C13/C5</f>
        <v>2.9106029106029108E-2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497</v>
      </c>
      <c r="D11" s="106">
        <v>320.68</v>
      </c>
      <c r="E11" s="107">
        <v>78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14</v>
      </c>
      <c r="D13" s="110">
        <v>316.43</v>
      </c>
      <c r="E13" s="111">
        <v>93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141</v>
      </c>
      <c r="D15" s="89">
        <v>309.64</v>
      </c>
      <c r="E15" s="90">
        <v>48</v>
      </c>
      <c r="F15" s="91" t="s">
        <v>60</v>
      </c>
      <c r="G15" s="92">
        <f>641757/659140</f>
        <v>0.97362775738082952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218</v>
      </c>
      <c r="D17" s="96">
        <v>296.98</v>
      </c>
      <c r="E17" s="97">
        <v>56</v>
      </c>
      <c r="F17" s="91" t="s">
        <v>61</v>
      </c>
      <c r="G17" s="92">
        <f>C21/C15</f>
        <v>2.3829787234042552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234</v>
      </c>
      <c r="D19" s="106">
        <v>291.22000000000003</v>
      </c>
      <c r="E19" s="107">
        <v>37</v>
      </c>
      <c r="F19" s="91" t="s">
        <v>62</v>
      </c>
      <c r="G19" s="92">
        <f>C23/C15</f>
        <v>7.8014184397163122E-2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336</v>
      </c>
      <c r="D21" s="106">
        <v>278.70999999999998</v>
      </c>
      <c r="E21" s="107">
        <v>56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11</v>
      </c>
      <c r="D23" s="110">
        <v>298.75</v>
      </c>
      <c r="E23" s="111">
        <v>57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67</v>
      </c>
      <c r="D25" s="89">
        <v>339.06</v>
      </c>
      <c r="E25" s="123">
        <v>64</v>
      </c>
      <c r="F25" s="91" t="s">
        <v>60</v>
      </c>
      <c r="G25" s="92">
        <f>1223150/1259053</f>
        <v>0.97148412338479795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60</v>
      </c>
      <c r="D27" s="96">
        <v>340.46</v>
      </c>
      <c r="E27" s="97">
        <v>60</v>
      </c>
      <c r="F27" s="91" t="s">
        <v>61</v>
      </c>
      <c r="G27" s="92">
        <f>C31/C25</f>
        <v>1.1194029850746268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64</v>
      </c>
      <c r="D29" s="106">
        <v>342.86</v>
      </c>
      <c r="E29" s="107">
        <v>50</v>
      </c>
      <c r="F29" s="91" t="s">
        <v>62</v>
      </c>
      <c r="G29" s="92">
        <f>C33/C25</f>
        <v>1.4925373134328358E-2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75</v>
      </c>
      <c r="D31" s="106">
        <v>328.6</v>
      </c>
      <c r="E31" s="107">
        <v>65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</v>
      </c>
      <c r="D33" s="110">
        <v>441.54</v>
      </c>
      <c r="E33" s="111">
        <v>87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63</v>
      </c>
      <c r="D35" s="89">
        <v>394.19</v>
      </c>
      <c r="E35" s="123">
        <v>130</v>
      </c>
      <c r="F35" s="91" t="s">
        <v>60</v>
      </c>
      <c r="G35" s="92">
        <f>1715508/1780383</f>
        <v>0.96356121126746319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35</v>
      </c>
      <c r="D37" s="96">
        <v>384.48</v>
      </c>
      <c r="E37" s="133">
        <v>100</v>
      </c>
      <c r="F37" s="91" t="s">
        <v>61</v>
      </c>
      <c r="G37" s="92">
        <f>C41/C35</f>
        <v>0.47619047619047616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37</v>
      </c>
      <c r="D39" s="106">
        <v>411.7</v>
      </c>
      <c r="E39" s="107">
        <v>95</v>
      </c>
      <c r="F39" s="91" t="s">
        <v>62</v>
      </c>
      <c r="G39" s="92">
        <f>C43/C35</f>
        <v>0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30</v>
      </c>
      <c r="D41" s="106">
        <v>390.07</v>
      </c>
      <c r="E41" s="107">
        <v>133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0</v>
      </c>
      <c r="D43" s="110" t="s">
        <v>30</v>
      </c>
      <c r="E43" s="140" t="s">
        <v>30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103</v>
      </c>
      <c r="D45" s="89">
        <v>499.43</v>
      </c>
      <c r="E45" s="123">
        <v>135</v>
      </c>
      <c r="F45" s="91" t="s">
        <v>60</v>
      </c>
      <c r="G45" s="92">
        <f>2347344/2418127</f>
        <v>0.97072817101831288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31</v>
      </c>
      <c r="D47" s="96">
        <v>466.95</v>
      </c>
      <c r="E47" s="133">
        <v>123</v>
      </c>
      <c r="F47" s="91" t="s">
        <v>61</v>
      </c>
      <c r="G47" s="92">
        <f>C51/C45</f>
        <v>0.25242718446601942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28</v>
      </c>
      <c r="D49" s="106">
        <v>488.38</v>
      </c>
      <c r="E49" s="107">
        <v>112</v>
      </c>
      <c r="F49" s="91" t="s">
        <v>62</v>
      </c>
      <c r="G49" s="92">
        <f>C53/C45</f>
        <v>9.7087378640776691E-3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26</v>
      </c>
      <c r="D51" s="106">
        <v>453.82</v>
      </c>
      <c r="E51" s="107">
        <v>159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296.3</v>
      </c>
      <c r="E53" s="111">
        <v>239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107</v>
      </c>
      <c r="D55" s="89">
        <v>758.16</v>
      </c>
      <c r="E55" s="123">
        <v>171</v>
      </c>
      <c r="F55" s="91" t="s">
        <v>60</v>
      </c>
      <c r="G55" s="164">
        <f>4192042/4384883</f>
        <v>0.95602140353573861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25</v>
      </c>
      <c r="D57" s="96">
        <v>712.33</v>
      </c>
      <c r="E57" s="133">
        <v>102</v>
      </c>
      <c r="F57" s="91" t="s">
        <v>61</v>
      </c>
      <c r="G57" s="92">
        <f>C61/C55</f>
        <v>0.28037383177570091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28</v>
      </c>
      <c r="D59" s="157">
        <v>690.44</v>
      </c>
      <c r="E59" s="133">
        <v>113</v>
      </c>
      <c r="F59" s="91" t="s">
        <v>62</v>
      </c>
      <c r="G59" s="92">
        <f>C63/C55</f>
        <v>9.3457943925233638E-3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30</v>
      </c>
      <c r="D61" s="157">
        <v>586.09</v>
      </c>
      <c r="E61" s="142">
        <v>240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405.9</v>
      </c>
      <c r="E63" s="142">
        <v>353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138</v>
      </c>
    </row>
  </sheetData>
  <printOptions horizontalCentered="1"/>
  <pageMargins left="0.2" right="0.2" top="0.75" bottom="0.5" header="0.3" footer="0.3"/>
  <pageSetup scale="77" orientation="portrait" horizontalDpi="4294967293" verticalDpi="4294967293" r:id="rId1"/>
  <colBreaks count="1" manualBreakCount="1">
    <brk id="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EB7DD-C8BF-448E-9D6F-BE1E5106670B}">
  <sheetPr codeName="Sheet21"/>
  <dimension ref="A1:K65"/>
  <sheetViews>
    <sheetView view="pageBreakPreview" topLeftCell="A31" zoomScaleNormal="100" zoomScaleSheetLayoutView="100" workbookViewId="0">
      <selection activeCell="F58" sqref="F58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136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586</v>
      </c>
      <c r="D5" s="89">
        <v>436.69900000000001</v>
      </c>
      <c r="E5" s="90">
        <v>111</v>
      </c>
      <c r="F5" s="91" t="s">
        <v>60</v>
      </c>
      <c r="G5" s="92">
        <f>1041637/1068756</f>
        <v>0.9746256395285734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294</v>
      </c>
      <c r="D7" s="96">
        <v>325.95</v>
      </c>
      <c r="E7" s="97">
        <v>79</v>
      </c>
      <c r="F7" s="91" t="s">
        <v>61</v>
      </c>
      <c r="G7" s="92">
        <f>C11/C5</f>
        <v>1.0887372013651877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315</v>
      </c>
      <c r="D9" s="106">
        <v>351.27</v>
      </c>
      <c r="E9" s="107">
        <v>84</v>
      </c>
      <c r="F9" s="91" t="s">
        <v>62</v>
      </c>
      <c r="G9" s="92">
        <f>C13/C5</f>
        <v>4.778156996587031E-2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638</v>
      </c>
      <c r="D11" s="106">
        <v>316.55</v>
      </c>
      <c r="E11" s="107">
        <v>65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28</v>
      </c>
      <c r="D13" s="110">
        <v>395.09</v>
      </c>
      <c r="E13" s="111">
        <v>178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191</v>
      </c>
      <c r="D15" s="89">
        <v>298.33</v>
      </c>
      <c r="E15" s="90">
        <v>63</v>
      </c>
      <c r="F15" s="91" t="s">
        <v>60</v>
      </c>
      <c r="G15" s="92">
        <f>645440/649159</f>
        <v>0.99427104915744835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194</v>
      </c>
      <c r="D17" s="96">
        <v>282.02999999999997</v>
      </c>
      <c r="E17" s="97">
        <v>73</v>
      </c>
      <c r="F17" s="91" t="s">
        <v>61</v>
      </c>
      <c r="G17" s="92">
        <f>C21/C15</f>
        <v>2.1151832460732982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188</v>
      </c>
      <c r="D19" s="106">
        <v>276.89</v>
      </c>
      <c r="E19" s="107">
        <v>48</v>
      </c>
      <c r="F19" s="91" t="s">
        <v>62</v>
      </c>
      <c r="G19" s="92">
        <f>C23/C15</f>
        <v>7.8534031413612565E-2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404</v>
      </c>
      <c r="D21" s="106">
        <v>283.73</v>
      </c>
      <c r="E21" s="107">
        <v>43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15</v>
      </c>
      <c r="D23" s="110">
        <v>282.89</v>
      </c>
      <c r="E23" s="111">
        <v>98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80</v>
      </c>
      <c r="D25" s="89">
        <v>329.12</v>
      </c>
      <c r="E25" s="123">
        <v>90</v>
      </c>
      <c r="F25" s="91" t="s">
        <v>60</v>
      </c>
      <c r="G25" s="92">
        <f>1204428/1246348</f>
        <v>0.96636573412883076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49</v>
      </c>
      <c r="D27" s="96">
        <v>334.81</v>
      </c>
      <c r="E27" s="97">
        <v>58</v>
      </c>
      <c r="F27" s="91" t="s">
        <v>61</v>
      </c>
      <c r="G27" s="92">
        <f>C31/C25</f>
        <v>1.5625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39</v>
      </c>
      <c r="D29" s="106">
        <v>320.12</v>
      </c>
      <c r="E29" s="107">
        <v>63</v>
      </c>
      <c r="F29" s="91" t="s">
        <v>62</v>
      </c>
      <c r="G29" s="92">
        <f>C33/C25</f>
        <v>3.7499999999999999E-2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125</v>
      </c>
      <c r="D31" s="106">
        <v>315.36</v>
      </c>
      <c r="E31" s="107">
        <v>89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3</v>
      </c>
      <c r="D33" s="110">
        <v>358.94</v>
      </c>
      <c r="E33" s="111">
        <v>66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82</v>
      </c>
      <c r="D35" s="89">
        <v>395.39</v>
      </c>
      <c r="E35" s="123">
        <v>129</v>
      </c>
      <c r="F35" s="91" t="s">
        <v>60</v>
      </c>
      <c r="G35" s="92">
        <f>1678530/1731573</f>
        <v>0.96936715922458938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22</v>
      </c>
      <c r="D37" s="96">
        <v>397.26</v>
      </c>
      <c r="E37" s="133">
        <v>156</v>
      </c>
      <c r="F37" s="91" t="s">
        <v>61</v>
      </c>
      <c r="G37" s="92">
        <f>C41/C35</f>
        <v>0.54878048780487809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30</v>
      </c>
      <c r="D39" s="106">
        <v>420.03</v>
      </c>
      <c r="E39" s="107">
        <v>108</v>
      </c>
      <c r="F39" s="91" t="s">
        <v>62</v>
      </c>
      <c r="G39" s="92">
        <f>C43/C35</f>
        <v>1.2195121951219513E-2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45</v>
      </c>
      <c r="D41" s="106">
        <v>373.07</v>
      </c>
      <c r="E41" s="107">
        <v>105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10">
        <v>600</v>
      </c>
      <c r="E43" s="107">
        <v>208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124</v>
      </c>
      <c r="D45" s="89">
        <v>489.29</v>
      </c>
      <c r="E45" s="123">
        <v>123</v>
      </c>
      <c r="F45" s="91" t="s">
        <v>60</v>
      </c>
      <c r="G45" s="92">
        <f>2300190/2420139</f>
        <v>0.95043714431278536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13</v>
      </c>
      <c r="D47" s="96">
        <v>494.66</v>
      </c>
      <c r="E47" s="133">
        <v>89</v>
      </c>
      <c r="F47" s="91" t="s">
        <v>61</v>
      </c>
      <c r="G47" s="92">
        <f>C51/C45</f>
        <v>0.33064516129032256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28</v>
      </c>
      <c r="D49" s="106">
        <v>494.79</v>
      </c>
      <c r="E49" s="107">
        <v>177</v>
      </c>
      <c r="F49" s="91" t="s">
        <v>62</v>
      </c>
      <c r="G49" s="92">
        <f>C53/C45</f>
        <v>3.2258064516129031E-2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41</v>
      </c>
      <c r="D51" s="106">
        <v>433.24</v>
      </c>
      <c r="E51" s="107">
        <v>127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463.48</v>
      </c>
      <c r="E53" s="111">
        <v>277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109</v>
      </c>
      <c r="D55" s="89">
        <v>729.32</v>
      </c>
      <c r="E55" s="123">
        <v>185</v>
      </c>
      <c r="F55" s="91" t="s">
        <v>60</v>
      </c>
      <c r="G55" s="164">
        <f>3626588/3768083</f>
        <v>0.96244907556441828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16</v>
      </c>
      <c r="D57" s="96">
        <v>596.05999999999995</v>
      </c>
      <c r="E57" s="133">
        <v>99</v>
      </c>
      <c r="F57" s="91" t="s">
        <v>61</v>
      </c>
      <c r="G57" s="92">
        <f>C61/C55</f>
        <v>0.21100917431192662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30</v>
      </c>
      <c r="D59" s="157">
        <v>655.11</v>
      </c>
      <c r="E59" s="133">
        <v>2226</v>
      </c>
      <c r="F59" s="91" t="s">
        <v>62</v>
      </c>
      <c r="G59" s="92">
        <f>C63/C55</f>
        <v>4.5871559633027525E-2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23</v>
      </c>
      <c r="D61" s="157">
        <v>580.97</v>
      </c>
      <c r="E61" s="142">
        <v>141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5</v>
      </c>
      <c r="D63" s="110">
        <v>657.68</v>
      </c>
      <c r="E63" s="142">
        <v>184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137</v>
      </c>
    </row>
  </sheetData>
  <printOptions horizontalCentered="1"/>
  <pageMargins left="0.2" right="0.2" top="0.75" bottom="0.5" header="0.3" footer="0.3"/>
  <pageSetup scale="77" orientation="portrait" horizontalDpi="4294967293" verticalDpi="4294967293" r:id="rId1"/>
  <colBreaks count="1" manualBreakCount="1">
    <brk id="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D362E-0886-49DA-AD91-428E8F3C7744}">
  <sheetPr codeName="Sheet22"/>
  <dimension ref="A1:K65"/>
  <sheetViews>
    <sheetView view="pageBreakPreview" zoomScaleNormal="100" zoomScaleSheetLayoutView="100" workbookViewId="0">
      <selection activeCell="J6" sqref="J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134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750</v>
      </c>
      <c r="D5" s="89">
        <v>412.55</v>
      </c>
      <c r="E5" s="90">
        <v>108</v>
      </c>
      <c r="F5" s="91" t="s">
        <v>60</v>
      </c>
      <c r="G5" s="92">
        <f>1016273/1044217</f>
        <v>0.97323927880890659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378</v>
      </c>
      <c r="D7" s="96">
        <v>325.77999999999997</v>
      </c>
      <c r="E7" s="97">
        <v>83</v>
      </c>
      <c r="F7" s="91" t="s">
        <v>61</v>
      </c>
      <c r="G7" s="92">
        <f>C11/C5</f>
        <v>0.70933333333333337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399</v>
      </c>
      <c r="D9" s="106">
        <v>329.28</v>
      </c>
      <c r="E9" s="107">
        <v>54</v>
      </c>
      <c r="F9" s="91" t="s">
        <v>62</v>
      </c>
      <c r="G9" s="92">
        <f>C13/C5</f>
        <v>0.02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532</v>
      </c>
      <c r="D11" s="106">
        <v>314.08999999999997</v>
      </c>
      <c r="E11" s="107">
        <v>67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15</v>
      </c>
      <c r="D13" s="110">
        <v>406.7</v>
      </c>
      <c r="E13" s="111">
        <v>123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285</v>
      </c>
      <c r="D15" s="89">
        <v>289.31</v>
      </c>
      <c r="E15" s="90">
        <v>63</v>
      </c>
      <c r="F15" s="91" t="s">
        <v>60</v>
      </c>
      <c r="G15" s="92">
        <f>638194/642999</f>
        <v>0.99252720455241761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226</v>
      </c>
      <c r="D17" s="96">
        <v>272.54000000000002</v>
      </c>
      <c r="E17" s="97">
        <v>60</v>
      </c>
      <c r="F17" s="91" t="s">
        <v>61</v>
      </c>
      <c r="G17" s="92">
        <f>C21/C15</f>
        <v>1.3263157894736841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249</v>
      </c>
      <c r="D19" s="106">
        <v>285.19</v>
      </c>
      <c r="E19" s="107">
        <v>34</v>
      </c>
      <c r="F19" s="91" t="s">
        <v>62</v>
      </c>
      <c r="G19" s="92">
        <f>C23/C15</f>
        <v>3.1578947368421054E-2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378</v>
      </c>
      <c r="D21" s="106">
        <v>280.47000000000003</v>
      </c>
      <c r="E21" s="107">
        <v>49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9</v>
      </c>
      <c r="D23" s="110">
        <v>320.94</v>
      </c>
      <c r="E23" s="111">
        <v>95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114</v>
      </c>
      <c r="D25" s="89">
        <v>324.07</v>
      </c>
      <c r="E25" s="123">
        <v>83</v>
      </c>
      <c r="F25" s="91" t="s">
        <v>60</v>
      </c>
      <c r="G25" s="92">
        <f>1209085/1233072</f>
        <v>0.98054695913945011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69</v>
      </c>
      <c r="D27" s="96">
        <v>331.53</v>
      </c>
      <c r="E27" s="97">
        <v>75</v>
      </c>
      <c r="F27" s="91" t="s">
        <v>61</v>
      </c>
      <c r="G27" s="92">
        <f>C31/C25</f>
        <v>0.7192982456140351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77</v>
      </c>
      <c r="D29" s="106">
        <v>323.07</v>
      </c>
      <c r="E29" s="107">
        <v>74</v>
      </c>
      <c r="F29" s="91" t="s">
        <v>62</v>
      </c>
      <c r="G29" s="92">
        <f>C33/C25</f>
        <v>0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82</v>
      </c>
      <c r="D31" s="106">
        <v>319.54000000000002</v>
      </c>
      <c r="E31" s="107">
        <v>83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0</v>
      </c>
      <c r="D33" s="110" t="s">
        <v>30</v>
      </c>
      <c r="E33" s="111" t="s">
        <v>30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89</v>
      </c>
      <c r="D35" s="89">
        <v>388.19</v>
      </c>
      <c r="E35" s="123">
        <v>134</v>
      </c>
      <c r="F35" s="91" t="s">
        <v>60</v>
      </c>
      <c r="G35" s="92">
        <f>1721400/1806552</f>
        <v>0.95286490507884636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32</v>
      </c>
      <c r="D37" s="96">
        <v>397.49</v>
      </c>
      <c r="E37" s="133">
        <v>107</v>
      </c>
      <c r="F37" s="91" t="s">
        <v>61</v>
      </c>
      <c r="G37" s="92">
        <f>C41/C35</f>
        <v>0.2808988764044944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30</v>
      </c>
      <c r="D39" s="106">
        <v>410.57</v>
      </c>
      <c r="E39" s="107">
        <v>106</v>
      </c>
      <c r="F39" s="91" t="s">
        <v>62</v>
      </c>
      <c r="G39" s="92">
        <f>C43/C35</f>
        <v>3.3707865168539325E-2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25</v>
      </c>
      <c r="D41" s="106">
        <v>374.98</v>
      </c>
      <c r="E41" s="107">
        <v>129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3</v>
      </c>
      <c r="D43" s="110">
        <v>418.84</v>
      </c>
      <c r="E43" s="107">
        <v>62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136</v>
      </c>
      <c r="D45" s="89">
        <v>488.37</v>
      </c>
      <c r="E45" s="123">
        <v>133</v>
      </c>
      <c r="F45" s="91" t="s">
        <v>60</v>
      </c>
      <c r="G45" s="92">
        <f>2401083/2552778</f>
        <v>0.94057650136439597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34</v>
      </c>
      <c r="D47" s="96">
        <v>451.81</v>
      </c>
      <c r="E47" s="133">
        <v>140</v>
      </c>
      <c r="F47" s="91" t="s">
        <v>61</v>
      </c>
      <c r="G47" s="92">
        <f>C51/C45</f>
        <v>0.16911764705882354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24</v>
      </c>
      <c r="D49" s="106">
        <v>463.74</v>
      </c>
      <c r="E49" s="107">
        <v>110</v>
      </c>
      <c r="F49" s="91" t="s">
        <v>62</v>
      </c>
      <c r="G49" s="92">
        <f>C53/C45</f>
        <v>7.3529411764705881E-3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23</v>
      </c>
      <c r="D51" s="106">
        <v>434.56</v>
      </c>
      <c r="E51" s="107">
        <v>161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291.94</v>
      </c>
      <c r="E53" s="111">
        <v>300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126</v>
      </c>
      <c r="D55" s="89">
        <v>706.73</v>
      </c>
      <c r="E55" s="123">
        <v>186</v>
      </c>
      <c r="F55" s="91" t="s">
        <v>60</v>
      </c>
      <c r="G55" s="164">
        <f>4250625/4478333</f>
        <v>0.94915340150006711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17</v>
      </c>
      <c r="D57" s="96">
        <v>623.24</v>
      </c>
      <c r="E57" s="133">
        <v>268</v>
      </c>
      <c r="F57" s="91" t="s">
        <v>61</v>
      </c>
      <c r="G57" s="92">
        <f>C61/C55</f>
        <v>0.19047619047619047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19</v>
      </c>
      <c r="D59" s="157">
        <v>634.13</v>
      </c>
      <c r="E59" s="133">
        <v>98</v>
      </c>
      <c r="F59" s="91" t="s">
        <v>62</v>
      </c>
      <c r="G59" s="92">
        <f>C63/C55</f>
        <v>1.5873015873015872E-2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24</v>
      </c>
      <c r="D61" s="157">
        <v>646.14</v>
      </c>
      <c r="E61" s="142">
        <v>159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831.79</v>
      </c>
      <c r="E63" s="142">
        <v>253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135</v>
      </c>
    </row>
  </sheetData>
  <printOptions horizontalCentered="1"/>
  <pageMargins left="0.2" right="0.2" top="0.75" bottom="0.5" header="0.3" footer="0.3"/>
  <pageSetup scale="77" orientation="portrait" horizontalDpi="4294967293" verticalDpi="4294967293" r:id="rId1"/>
  <colBreaks count="1" manualBreakCount="1">
    <brk id="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F006A-E229-45CD-A65C-E39B95EE5FD5}">
  <sheetPr codeName="Sheet23"/>
  <dimension ref="A1:K65"/>
  <sheetViews>
    <sheetView view="pageBreakPreview" topLeftCell="A28" zoomScaleNormal="100" zoomScaleSheetLayoutView="100" workbookViewId="0">
      <selection activeCell="I53" sqref="I5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132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884</v>
      </c>
      <c r="D5" s="89">
        <v>396.07</v>
      </c>
      <c r="E5" s="90">
        <v>105</v>
      </c>
      <c r="F5" s="91" t="s">
        <v>60</v>
      </c>
      <c r="G5" s="92">
        <f>1007800/1048500</f>
        <v>0.96118264186933711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378</v>
      </c>
      <c r="D7" s="96">
        <v>324.56</v>
      </c>
      <c r="E7" s="97">
        <v>75</v>
      </c>
      <c r="F7" s="91" t="s">
        <v>61</v>
      </c>
      <c r="G7" s="92">
        <f>C11/C5</f>
        <v>0.67760180995475117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382</v>
      </c>
      <c r="D9" s="106">
        <v>322.04000000000002</v>
      </c>
      <c r="E9" s="107">
        <v>58</v>
      </c>
      <c r="F9" s="91" t="s">
        <v>62</v>
      </c>
      <c r="G9" s="92">
        <f>C13/C5</f>
        <v>1.6968325791855202E-2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599</v>
      </c>
      <c r="D11" s="106">
        <v>309.02</v>
      </c>
      <c r="E11" s="107">
        <v>65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15</v>
      </c>
      <c r="D13" s="110">
        <v>338.86</v>
      </c>
      <c r="E13" s="111">
        <v>201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369</v>
      </c>
      <c r="D15" s="89">
        <v>286</v>
      </c>
      <c r="E15" s="90">
        <v>52</v>
      </c>
      <c r="F15" s="91" t="s">
        <v>60</v>
      </c>
      <c r="G15" s="92">
        <f>643168/650560</f>
        <v>0.98863748155435316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240</v>
      </c>
      <c r="D17" s="96">
        <v>278.27999999999997</v>
      </c>
      <c r="E17" s="97">
        <v>57</v>
      </c>
      <c r="F17" s="91" t="s">
        <v>61</v>
      </c>
      <c r="G17" s="92">
        <f>C21/C15</f>
        <v>1.1355013550135502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255</v>
      </c>
      <c r="D19" s="106">
        <v>277.99</v>
      </c>
      <c r="E19" s="107">
        <v>41</v>
      </c>
      <c r="F19" s="91" t="s">
        <v>62</v>
      </c>
      <c r="G19" s="92">
        <f>C23/C15</f>
        <v>2.4390243902439025E-2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419</v>
      </c>
      <c r="D21" s="106">
        <v>277.52</v>
      </c>
      <c r="E21" s="107">
        <v>46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9</v>
      </c>
      <c r="D23" s="110">
        <v>262.97000000000003</v>
      </c>
      <c r="E23" s="111">
        <v>90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130</v>
      </c>
      <c r="D25" s="89">
        <v>321.37</v>
      </c>
      <c r="E25" s="123">
        <v>95</v>
      </c>
      <c r="F25" s="91" t="s">
        <v>60</v>
      </c>
      <c r="G25" s="92">
        <f>1204974/1244258</f>
        <v>0.96842776980336875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64</v>
      </c>
      <c r="D27" s="96">
        <v>320.99</v>
      </c>
      <c r="E27" s="97">
        <v>86</v>
      </c>
      <c r="F27" s="91" t="s">
        <v>61</v>
      </c>
      <c r="G27" s="92">
        <f>C31/C25</f>
        <v>0.7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71</v>
      </c>
      <c r="D29" s="106">
        <v>320.83</v>
      </c>
      <c r="E29" s="107">
        <v>58</v>
      </c>
      <c r="F29" s="91" t="s">
        <v>62</v>
      </c>
      <c r="G29" s="92">
        <f>C33/C25</f>
        <v>7.6923076923076927E-3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91</v>
      </c>
      <c r="D31" s="106">
        <v>313.77</v>
      </c>
      <c r="E31" s="107">
        <v>77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</v>
      </c>
      <c r="D33" s="126">
        <v>299.49</v>
      </c>
      <c r="E33" s="111">
        <v>471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108</v>
      </c>
      <c r="D35" s="89">
        <v>395.97</v>
      </c>
      <c r="E35" s="123">
        <v>121</v>
      </c>
      <c r="F35" s="91" t="s">
        <v>60</v>
      </c>
      <c r="G35" s="92">
        <f>1654837/1716017</f>
        <v>0.96434767254636755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25</v>
      </c>
      <c r="D37" s="96">
        <v>397.74</v>
      </c>
      <c r="E37" s="133">
        <v>106</v>
      </c>
      <c r="F37" s="91" t="s">
        <v>61</v>
      </c>
      <c r="G37" s="92">
        <f>C41/C35</f>
        <v>0.39814814814814814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21</v>
      </c>
      <c r="D39" s="106">
        <v>428.17</v>
      </c>
      <c r="E39" s="107">
        <v>151</v>
      </c>
      <c r="F39" s="91" t="s">
        <v>62</v>
      </c>
      <c r="G39" s="92">
        <f>C43/C35</f>
        <v>9.2592592592592587E-3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43</v>
      </c>
      <c r="D41" s="106">
        <v>378.29</v>
      </c>
      <c r="E41" s="107">
        <v>121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10">
        <v>311.79000000000002</v>
      </c>
      <c r="E43" s="107">
        <v>692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151</v>
      </c>
      <c r="D45" s="89">
        <v>471.72</v>
      </c>
      <c r="E45" s="123">
        <v>136</v>
      </c>
      <c r="F45" s="91" t="s">
        <v>60</v>
      </c>
      <c r="G45" s="92">
        <f>2410972/2526404</f>
        <v>0.95430976201747619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29</v>
      </c>
      <c r="D47" s="96">
        <v>466.62</v>
      </c>
      <c r="E47" s="133">
        <v>130</v>
      </c>
      <c r="F47" s="91" t="s">
        <v>61</v>
      </c>
      <c r="G47" s="92">
        <f>C51/C45</f>
        <v>0.20529801324503311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18</v>
      </c>
      <c r="D49" s="106">
        <v>487.37</v>
      </c>
      <c r="E49" s="107">
        <v>85</v>
      </c>
      <c r="F49" s="91" t="s">
        <v>62</v>
      </c>
      <c r="G49" s="92">
        <f>C53/C45</f>
        <v>6.6225165562913907E-3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31</v>
      </c>
      <c r="D51" s="106">
        <v>450.98</v>
      </c>
      <c r="E51" s="107">
        <v>158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404.21</v>
      </c>
      <c r="E53" s="111">
        <v>328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126</v>
      </c>
      <c r="D55" s="89">
        <v>704.91</v>
      </c>
      <c r="E55" s="123">
        <v>220</v>
      </c>
      <c r="F55" s="91" t="s">
        <v>60</v>
      </c>
      <c r="G55" s="164">
        <f>5242249/6008667</f>
        <v>0.87244791565250657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20</v>
      </c>
      <c r="D57" s="96">
        <v>595.71</v>
      </c>
      <c r="E57" s="133">
        <v>135</v>
      </c>
      <c r="F57" s="91" t="s">
        <v>61</v>
      </c>
      <c r="G57" s="92">
        <f>C61/C55</f>
        <v>0.11904761904761904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17</v>
      </c>
      <c r="D59" s="157">
        <v>681.54</v>
      </c>
      <c r="E59" s="133">
        <v>159</v>
      </c>
      <c r="F59" s="91" t="s">
        <v>62</v>
      </c>
      <c r="G59" s="92">
        <f>C63/C55</f>
        <v>2.3809523809523808E-2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15</v>
      </c>
      <c r="D61" s="157">
        <v>688.01</v>
      </c>
      <c r="E61" s="142">
        <v>169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566.87</v>
      </c>
      <c r="E63" s="142">
        <v>238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133</v>
      </c>
    </row>
  </sheetData>
  <printOptions horizontalCentered="1"/>
  <pageMargins left="0.2" right="0.2" top="0.75" bottom="0.5" header="0.3" footer="0.3"/>
  <pageSetup scale="77" orientation="portrait" horizontalDpi="4294967293" verticalDpi="4294967293" r:id="rId1"/>
  <colBreaks count="1" manualBreakCount="1">
    <brk id="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DDFFA-ECFE-4812-B155-0FF6F39BA6C3}">
  <sheetPr codeName="Sheet24"/>
  <dimension ref="A1:K65"/>
  <sheetViews>
    <sheetView view="pageBreakPreview" zoomScaleNormal="100" zoomScaleSheetLayoutView="100" workbookViewId="0">
      <selection activeCell="J10" sqref="J10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130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924</v>
      </c>
      <c r="D5" s="89">
        <v>390.8</v>
      </c>
      <c r="E5" s="90">
        <v>112</v>
      </c>
      <c r="F5" s="91" t="s">
        <v>60</v>
      </c>
      <c r="G5" s="92">
        <f>945113/966896</f>
        <v>0.97747120683093114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382</v>
      </c>
      <c r="D7" s="96">
        <v>316.91000000000003</v>
      </c>
      <c r="E7" s="97">
        <v>71</v>
      </c>
      <c r="F7" s="91" t="s">
        <v>61</v>
      </c>
      <c r="G7" s="92">
        <f>C11/C5</f>
        <v>0.59307359307359309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342</v>
      </c>
      <c r="D9" s="106">
        <v>323.62</v>
      </c>
      <c r="E9" s="107">
        <v>58</v>
      </c>
      <c r="F9" s="91" t="s">
        <v>62</v>
      </c>
      <c r="G9" s="92">
        <f>C13/C5</f>
        <v>2.813852813852814E-2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548</v>
      </c>
      <c r="D11" s="106">
        <v>295.73</v>
      </c>
      <c r="E11" s="107">
        <v>78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26</v>
      </c>
      <c r="D13" s="110">
        <v>352.91</v>
      </c>
      <c r="E13" s="111">
        <v>241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383</v>
      </c>
      <c r="D15" s="89">
        <v>284.83</v>
      </c>
      <c r="E15" s="90">
        <v>55</v>
      </c>
      <c r="F15" s="91" t="s">
        <v>60</v>
      </c>
      <c r="G15" s="92">
        <f>635335/642279</f>
        <v>0.9891884990790607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266</v>
      </c>
      <c r="D17" s="96">
        <v>273.38</v>
      </c>
      <c r="E17" s="97">
        <v>53</v>
      </c>
      <c r="F17" s="91" t="s">
        <v>61</v>
      </c>
      <c r="G17" s="92">
        <f>C21/C15</f>
        <v>0.9921671018276762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228</v>
      </c>
      <c r="D19" s="106">
        <v>277.61</v>
      </c>
      <c r="E19" s="107">
        <v>39</v>
      </c>
      <c r="F19" s="91" t="s">
        <v>62</v>
      </c>
      <c r="G19" s="92">
        <f>C23/C15</f>
        <v>2.8720626631853787E-2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380</v>
      </c>
      <c r="D21" s="106">
        <v>271.33999999999997</v>
      </c>
      <c r="E21" s="107">
        <v>54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11</v>
      </c>
      <c r="D23" s="110">
        <v>239.21</v>
      </c>
      <c r="E23" s="111">
        <v>107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144</v>
      </c>
      <c r="D25" s="89">
        <v>322.23</v>
      </c>
      <c r="E25" s="123">
        <v>102</v>
      </c>
      <c r="F25" s="91" t="s">
        <v>60</v>
      </c>
      <c r="G25" s="92">
        <f>1205550/1240977</f>
        <v>0.97145233150977017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60</v>
      </c>
      <c r="D27" s="96">
        <v>326.45</v>
      </c>
      <c r="E27" s="97">
        <v>69</v>
      </c>
      <c r="F27" s="91" t="s">
        <v>61</v>
      </c>
      <c r="G27" s="92">
        <f>C31/C25</f>
        <v>0.61805555555555558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52</v>
      </c>
      <c r="D29" s="106">
        <v>323.51</v>
      </c>
      <c r="E29" s="107">
        <v>84</v>
      </c>
      <c r="F29" s="91" t="s">
        <v>62</v>
      </c>
      <c r="G29" s="92">
        <f>C33/C25</f>
        <v>2.0833333333333332E-2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89</v>
      </c>
      <c r="D31" s="106">
        <v>307.58999999999997</v>
      </c>
      <c r="E31" s="107">
        <v>93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3</v>
      </c>
      <c r="D33" s="126">
        <v>379.02</v>
      </c>
      <c r="E33" s="111">
        <v>291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110</v>
      </c>
      <c r="D35" s="89">
        <v>413.44</v>
      </c>
      <c r="E35" s="123">
        <v>147</v>
      </c>
      <c r="F35" s="91" t="s">
        <v>60</v>
      </c>
      <c r="G35" s="92">
        <f>1661489/1712565</f>
        <v>0.97017573055621242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30</v>
      </c>
      <c r="D37" s="96">
        <v>412.22</v>
      </c>
      <c r="E37" s="133">
        <v>135</v>
      </c>
      <c r="F37" s="91" t="s">
        <v>61</v>
      </c>
      <c r="G37" s="92">
        <f>C41/C35</f>
        <v>0.39090909090909093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24</v>
      </c>
      <c r="D39" s="106">
        <v>379.8</v>
      </c>
      <c r="E39" s="107">
        <v>89</v>
      </c>
      <c r="F39" s="91" t="s">
        <v>62</v>
      </c>
      <c r="G39" s="92">
        <f>C43/C35</f>
        <v>5.4545454545454543E-2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43</v>
      </c>
      <c r="D41" s="106">
        <v>340.18</v>
      </c>
      <c r="E41" s="107">
        <v>124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6</v>
      </c>
      <c r="D43" s="110">
        <v>398.69</v>
      </c>
      <c r="E43" s="107">
        <v>276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161</v>
      </c>
      <c r="D45" s="89">
        <v>463.52</v>
      </c>
      <c r="E45" s="123">
        <v>140</v>
      </c>
      <c r="F45" s="91" t="s">
        <v>60</v>
      </c>
      <c r="G45" s="92">
        <f>2363667/2468000</f>
        <v>0.95772568881685571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24</v>
      </c>
      <c r="D47" s="96">
        <v>479.37</v>
      </c>
      <c r="E47" s="133">
        <v>137</v>
      </c>
      <c r="F47" s="91" t="s">
        <v>61</v>
      </c>
      <c r="G47" s="92">
        <f>C51/C45</f>
        <v>0.13043478260869565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23</v>
      </c>
      <c r="D49" s="106">
        <v>497.06</v>
      </c>
      <c r="E49" s="107">
        <v>119</v>
      </c>
      <c r="F49" s="91" t="s">
        <v>62</v>
      </c>
      <c r="G49" s="92">
        <f>C53/C45</f>
        <v>3.1055900621118012E-2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21</v>
      </c>
      <c r="D51" s="106">
        <v>437.54</v>
      </c>
      <c r="E51" s="107">
        <v>228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472.25</v>
      </c>
      <c r="E53" s="111">
        <v>332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126</v>
      </c>
      <c r="D55" s="89">
        <v>678.59</v>
      </c>
      <c r="E55" s="123">
        <v>230</v>
      </c>
      <c r="F55" s="91" t="s">
        <v>60</v>
      </c>
      <c r="G55" s="164">
        <f>3556083/3688000</f>
        <v>0.96423074837310196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12</v>
      </c>
      <c r="D57" s="96">
        <v>634.79</v>
      </c>
      <c r="E57" s="133">
        <v>177</v>
      </c>
      <c r="F57" s="91" t="s">
        <v>61</v>
      </c>
      <c r="G57" s="92">
        <f>C61/C55</f>
        <v>0.10317460317460317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15</v>
      </c>
      <c r="D59" s="157">
        <v>667.56</v>
      </c>
      <c r="E59" s="133">
        <v>111</v>
      </c>
      <c r="F59" s="91" t="s">
        <v>62</v>
      </c>
      <c r="G59" s="92">
        <f>C63/C55</f>
        <v>7.9365079365079361E-3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13</v>
      </c>
      <c r="D61" s="157">
        <v>551.32000000000005</v>
      </c>
      <c r="E61" s="142">
        <v>295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653.95000000000005</v>
      </c>
      <c r="E63" s="142">
        <v>895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131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EF088-73BA-4A0B-B5FB-6D73819BA826}">
  <sheetPr codeName="Sheet25"/>
  <dimension ref="A1:K65"/>
  <sheetViews>
    <sheetView view="pageBreakPreview" zoomScaleNormal="100" zoomScaleSheetLayoutView="100" workbookViewId="0">
      <selection activeCell="M21" sqref="M2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128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864</v>
      </c>
      <c r="D5" s="89">
        <v>382.27</v>
      </c>
      <c r="E5" s="90">
        <v>132</v>
      </c>
      <c r="F5" s="91" t="s">
        <v>60</v>
      </c>
      <c r="G5" s="92">
        <f>922631/952538</f>
        <v>0.9686028273937628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334</v>
      </c>
      <c r="D7" s="96">
        <v>311.64999999999998</v>
      </c>
      <c r="E7" s="97">
        <v>78</v>
      </c>
      <c r="F7" s="91" t="s">
        <v>61</v>
      </c>
      <c r="G7" s="92">
        <f>C11/C5</f>
        <v>0.61458333333333337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356</v>
      </c>
      <c r="D9" s="106">
        <v>307.45</v>
      </c>
      <c r="E9" s="107">
        <v>77</v>
      </c>
      <c r="F9" s="91" t="s">
        <v>62</v>
      </c>
      <c r="G9" s="92">
        <f>C13/C5</f>
        <v>2.3148148148148147E-2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531</v>
      </c>
      <c r="D11" s="106">
        <v>292.51</v>
      </c>
      <c r="E11" s="107">
        <v>88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20</v>
      </c>
      <c r="D13" s="110">
        <v>360.36</v>
      </c>
      <c r="E13" s="111">
        <v>252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352</v>
      </c>
      <c r="D15" s="89">
        <v>278.08</v>
      </c>
      <c r="E15" s="90">
        <v>59</v>
      </c>
      <c r="F15" s="91" t="s">
        <v>60</v>
      </c>
      <c r="G15" s="92">
        <f>630725/639792</f>
        <v>0.98582820666716686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226</v>
      </c>
      <c r="D17" s="96">
        <v>269.11</v>
      </c>
      <c r="E17" s="97">
        <v>63</v>
      </c>
      <c r="F17" s="91" t="s">
        <v>61</v>
      </c>
      <c r="G17" s="92">
        <f>C21/C15</f>
        <v>1.1136363636363635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241</v>
      </c>
      <c r="D19" s="106">
        <v>267.87</v>
      </c>
      <c r="E19" s="107">
        <v>51</v>
      </c>
      <c r="F19" s="91" t="s">
        <v>62</v>
      </c>
      <c r="G19" s="92">
        <f>C23/C15</f>
        <v>2.2727272727272728E-2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392</v>
      </c>
      <c r="D21" s="106">
        <v>266.91000000000003</v>
      </c>
      <c r="E21" s="107">
        <v>66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8</v>
      </c>
      <c r="D23" s="110">
        <v>357.14</v>
      </c>
      <c r="E23" s="111">
        <v>111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140</v>
      </c>
      <c r="D25" s="89">
        <v>328.84</v>
      </c>
      <c r="E25" s="123">
        <v>111</v>
      </c>
      <c r="F25" s="91" t="s">
        <v>60</v>
      </c>
      <c r="G25" s="92">
        <f>1180605/1229797</f>
        <v>0.95999990242292021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60</v>
      </c>
      <c r="D27" s="96">
        <v>327.3</v>
      </c>
      <c r="E27" s="97">
        <v>71</v>
      </c>
      <c r="F27" s="91" t="s">
        <v>61</v>
      </c>
      <c r="G27" s="92">
        <f>C31/C25</f>
        <v>0.57857142857142863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56</v>
      </c>
      <c r="D29" s="106">
        <v>307.08999999999997</v>
      </c>
      <c r="E29" s="107">
        <v>104</v>
      </c>
      <c r="F29" s="91" t="s">
        <v>62</v>
      </c>
      <c r="G29" s="92">
        <f>C33/C25</f>
        <v>4.2857142857142858E-2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81</v>
      </c>
      <c r="D31" s="106">
        <v>308.08999999999997</v>
      </c>
      <c r="E31" s="107">
        <v>126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6</v>
      </c>
      <c r="D33" s="126">
        <v>309.11</v>
      </c>
      <c r="E33" s="111">
        <v>229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131</v>
      </c>
      <c r="D35" s="89">
        <v>395.95</v>
      </c>
      <c r="E35" s="123">
        <v>165</v>
      </c>
      <c r="F35" s="91" t="s">
        <v>60</v>
      </c>
      <c r="G35" s="92">
        <f>1723419/1791223</f>
        <v>0.96214653340203871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21</v>
      </c>
      <c r="D37" s="96">
        <v>339.62</v>
      </c>
      <c r="E37" s="133">
        <v>130</v>
      </c>
      <c r="F37" s="91" t="s">
        <v>61</v>
      </c>
      <c r="G37" s="92">
        <f>C41/C35</f>
        <v>0.19847328244274809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23</v>
      </c>
      <c r="D39" s="106">
        <v>385.43</v>
      </c>
      <c r="E39" s="107">
        <v>93</v>
      </c>
      <c r="F39" s="91" t="s">
        <v>62</v>
      </c>
      <c r="G39" s="92">
        <f>C43/C35</f>
        <v>7.6335877862595417E-3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26</v>
      </c>
      <c r="D41" s="106">
        <v>350.91</v>
      </c>
      <c r="E41" s="107">
        <v>113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10">
        <v>348.19</v>
      </c>
      <c r="E43" s="107">
        <v>267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135</v>
      </c>
      <c r="D45" s="89">
        <v>469.38</v>
      </c>
      <c r="E45" s="123">
        <v>184</v>
      </c>
      <c r="F45" s="91" t="s">
        <v>60</v>
      </c>
      <c r="G45" s="92">
        <f>2398578/2536878</f>
        <v>0.94548417385463546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11</v>
      </c>
      <c r="D47" s="96">
        <v>441.17</v>
      </c>
      <c r="E47" s="133">
        <v>235</v>
      </c>
      <c r="F47" s="91" t="s">
        <v>61</v>
      </c>
      <c r="G47" s="92">
        <f>C51/C45</f>
        <v>0.13333333333333333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24</v>
      </c>
      <c r="D49" s="106">
        <v>485.86</v>
      </c>
      <c r="E49" s="107">
        <v>144</v>
      </c>
      <c r="F49" s="91" t="s">
        <v>62</v>
      </c>
      <c r="G49" s="92">
        <f>C53/C45</f>
        <v>2.9629629629629631E-2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18</v>
      </c>
      <c r="D51" s="106">
        <v>441.33</v>
      </c>
      <c r="E51" s="107">
        <v>171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543.20000000000005</v>
      </c>
      <c r="E53" s="111">
        <v>457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106</v>
      </c>
      <c r="D55" s="89">
        <v>670.97</v>
      </c>
      <c r="E55" s="123">
        <v>295</v>
      </c>
      <c r="F55" s="91" t="s">
        <v>60</v>
      </c>
      <c r="G55" s="164">
        <f>4218607/4510714</f>
        <v>0.93524151608814032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16</v>
      </c>
      <c r="D57" s="96">
        <v>728.18</v>
      </c>
      <c r="E57" s="133">
        <v>134</v>
      </c>
      <c r="F57" s="91" t="s">
        <v>61</v>
      </c>
      <c r="G57" s="92">
        <f>C61/C55</f>
        <v>0.13207547169811321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12</v>
      </c>
      <c r="D59" s="157">
        <v>597.80999999999995</v>
      </c>
      <c r="E59" s="133">
        <v>326</v>
      </c>
      <c r="F59" s="91" t="s">
        <v>62</v>
      </c>
      <c r="G59" s="92">
        <f>C63/C55</f>
        <v>9.433962264150943E-3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14</v>
      </c>
      <c r="D61" s="157">
        <v>619.33000000000004</v>
      </c>
      <c r="E61" s="142">
        <v>318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598.52</v>
      </c>
      <c r="E63" s="142">
        <v>684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129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E4F4-0B0E-4BEF-B5E6-DB716738FC6B}">
  <sheetPr codeName="Sheet26"/>
  <dimension ref="A1:K65"/>
  <sheetViews>
    <sheetView view="pageBreakPreview" zoomScaleNormal="100" zoomScaleSheetLayoutView="100" workbookViewId="0">
      <selection activeCell="I29" sqref="I2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126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914</v>
      </c>
      <c r="D5" s="89">
        <v>375.81</v>
      </c>
      <c r="E5" s="90">
        <v>143</v>
      </c>
      <c r="F5" s="91" t="s">
        <v>60</v>
      </c>
      <c r="G5" s="92">
        <f>899477/930891</f>
        <v>0.96625383637826556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322</v>
      </c>
      <c r="D7" s="96">
        <v>296.18</v>
      </c>
      <c r="E7" s="97">
        <v>104</v>
      </c>
      <c r="F7" s="91" t="s">
        <v>61</v>
      </c>
      <c r="G7" s="92">
        <f>C11/C5</f>
        <v>0.6334792122538293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333</v>
      </c>
      <c r="D9" s="106">
        <v>309.55</v>
      </c>
      <c r="E9" s="107">
        <v>81</v>
      </c>
      <c r="F9" s="91" t="s">
        <v>62</v>
      </c>
      <c r="G9" s="92">
        <f>C13/C5</f>
        <v>3.0634573304157548E-2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579</v>
      </c>
      <c r="D11" s="106">
        <v>288.06</v>
      </c>
      <c r="E11" s="107">
        <v>85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28</v>
      </c>
      <c r="D13" s="110">
        <v>348.01</v>
      </c>
      <c r="E13" s="111">
        <v>180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394</v>
      </c>
      <c r="D15" s="89">
        <v>273.68</v>
      </c>
      <c r="E15" s="90">
        <v>67</v>
      </c>
      <c r="F15" s="91" t="s">
        <v>60</v>
      </c>
      <c r="G15" s="92">
        <f>622094/632545</f>
        <v>0.98347785533045085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224</v>
      </c>
      <c r="D17" s="96">
        <v>262.45</v>
      </c>
      <c r="E17" s="97">
        <v>76</v>
      </c>
      <c r="F17" s="91" t="s">
        <v>61</v>
      </c>
      <c r="G17" s="92">
        <f>C21/C15</f>
        <v>1.0862944162436547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226</v>
      </c>
      <c r="D19" s="106">
        <v>268.27</v>
      </c>
      <c r="E19" s="107">
        <v>50</v>
      </c>
      <c r="F19" s="91" t="s">
        <v>62</v>
      </c>
      <c r="G19" s="92">
        <f>C23/C15</f>
        <v>3.8071065989847719E-2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428</v>
      </c>
      <c r="D21" s="106">
        <v>264.05</v>
      </c>
      <c r="E21" s="107">
        <v>62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15</v>
      </c>
      <c r="D23" s="110">
        <v>272.67</v>
      </c>
      <c r="E23" s="111">
        <v>89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137</v>
      </c>
      <c r="D25" s="89">
        <v>326.67</v>
      </c>
      <c r="E25" s="123">
        <v>134</v>
      </c>
      <c r="F25" s="91" t="s">
        <v>60</v>
      </c>
      <c r="G25" s="92">
        <f>1207738/1254832</f>
        <v>0.96246987644561188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54</v>
      </c>
      <c r="D27" s="96">
        <v>307.68</v>
      </c>
      <c r="E27" s="97">
        <v>139</v>
      </c>
      <c r="F27" s="91" t="s">
        <v>61</v>
      </c>
      <c r="G27" s="92">
        <f>C31/C25</f>
        <v>0.57664233576642332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49</v>
      </c>
      <c r="D29" s="106">
        <v>308.63</v>
      </c>
      <c r="E29" s="107">
        <v>120</v>
      </c>
      <c r="F29" s="91" t="s">
        <v>62</v>
      </c>
      <c r="G29" s="92">
        <f>C33/C25</f>
        <v>2.9197080291970802E-2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79</v>
      </c>
      <c r="D31" s="106">
        <v>309.85000000000002</v>
      </c>
      <c r="E31" s="107">
        <v>104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316.08</v>
      </c>
      <c r="E33" s="111">
        <v>181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138</v>
      </c>
      <c r="D35" s="89">
        <v>390.82</v>
      </c>
      <c r="E35" s="123">
        <v>170</v>
      </c>
      <c r="F35" s="91" t="s">
        <v>60</v>
      </c>
      <c r="G35" s="92">
        <f>1633817/1708800</f>
        <v>0.95611949906367044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17</v>
      </c>
      <c r="D37" s="96">
        <v>358.05</v>
      </c>
      <c r="E37" s="133">
        <v>110</v>
      </c>
      <c r="F37" s="91" t="s">
        <v>61</v>
      </c>
      <c r="G37" s="92">
        <f>C41/C35</f>
        <v>0.2608695652173913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26</v>
      </c>
      <c r="D39" s="106">
        <v>368.26</v>
      </c>
      <c r="E39" s="107">
        <v>87</v>
      </c>
      <c r="F39" s="91" t="s">
        <v>62</v>
      </c>
      <c r="G39" s="92">
        <f>C43/C35</f>
        <v>7.246376811594203E-3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36</v>
      </c>
      <c r="D41" s="106">
        <v>355.69</v>
      </c>
      <c r="E41" s="107">
        <v>127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10">
        <v>360.95</v>
      </c>
      <c r="E43" s="107">
        <v>152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136</v>
      </c>
      <c r="D45" s="89">
        <v>471.37</v>
      </c>
      <c r="E45" s="123">
        <v>221</v>
      </c>
      <c r="F45" s="91" t="s">
        <v>60</v>
      </c>
      <c r="G45" s="92">
        <f>2288796/2475038</f>
        <v>0.92475186239564811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17</v>
      </c>
      <c r="D47" s="96">
        <v>449.18</v>
      </c>
      <c r="E47" s="133">
        <v>158</v>
      </c>
      <c r="F47" s="91" t="s">
        <v>61</v>
      </c>
      <c r="G47" s="92">
        <f>C51/C45</f>
        <v>0.17647058823529413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17</v>
      </c>
      <c r="D49" s="106">
        <v>501.16</v>
      </c>
      <c r="E49" s="107">
        <v>139</v>
      </c>
      <c r="F49" s="91" t="s">
        <v>62</v>
      </c>
      <c r="G49" s="92">
        <f>C53/C45</f>
        <v>2.9411764705882353E-2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24</v>
      </c>
      <c r="D51" s="106">
        <v>391.73</v>
      </c>
      <c r="E51" s="107">
        <v>214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499.65</v>
      </c>
      <c r="E53" s="111">
        <v>271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109</v>
      </c>
      <c r="D55" s="89">
        <v>688.5</v>
      </c>
      <c r="E55" s="123">
        <v>295</v>
      </c>
      <c r="F55" s="91" t="s">
        <v>60</v>
      </c>
      <c r="G55" s="164">
        <f>3781775/4017275</f>
        <v>0.94137817301529025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10</v>
      </c>
      <c r="D57" s="96">
        <v>624.41</v>
      </c>
      <c r="E57" s="133">
        <v>452</v>
      </c>
      <c r="F57" s="91" t="s">
        <v>61</v>
      </c>
      <c r="G57" s="92">
        <f>C61/C55</f>
        <v>0.11009174311926606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15</v>
      </c>
      <c r="D59" s="157">
        <v>615.58000000000004</v>
      </c>
      <c r="E59" s="133">
        <v>334</v>
      </c>
      <c r="F59" s="91" t="s">
        <v>62</v>
      </c>
      <c r="G59" s="92">
        <f>C63/C55</f>
        <v>3.669724770642202E-2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12</v>
      </c>
      <c r="D61" s="157">
        <v>590.95000000000005</v>
      </c>
      <c r="E61" s="142">
        <v>373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507.59</v>
      </c>
      <c r="E63" s="142">
        <v>435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127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87573-F4D6-45F2-9B7F-BA7B3328DA15}">
  <sheetPr codeName="Sheet27"/>
  <dimension ref="A1:K65"/>
  <sheetViews>
    <sheetView view="pageBreakPreview" zoomScaleNormal="100" zoomScaleSheetLayoutView="100" workbookViewId="0">
      <selection activeCell="K19" sqref="K1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124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1019</v>
      </c>
      <c r="D5" s="89">
        <v>369.67</v>
      </c>
      <c r="E5" s="90">
        <v>150</v>
      </c>
      <c r="F5" s="91" t="s">
        <v>60</v>
      </c>
      <c r="G5" s="92">
        <f>787749/815427</f>
        <v>0.96605704741196941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358</v>
      </c>
      <c r="D7" s="96">
        <v>304.52</v>
      </c>
      <c r="E7" s="97">
        <v>98</v>
      </c>
      <c r="F7" s="91" t="s">
        <v>61</v>
      </c>
      <c r="G7" s="92">
        <f>C11/C5</f>
        <v>0.50932286555446515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339</v>
      </c>
      <c r="D9" s="106">
        <v>303.83999999999997</v>
      </c>
      <c r="E9" s="107">
        <v>74</v>
      </c>
      <c r="F9" s="91" t="s">
        <v>62</v>
      </c>
      <c r="G9" s="92">
        <f>C13/C5</f>
        <v>2.0608439646712464E-2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519</v>
      </c>
      <c r="D11" s="106">
        <v>272.08</v>
      </c>
      <c r="E11" s="107">
        <v>85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21</v>
      </c>
      <c r="D13" s="110">
        <v>340.31</v>
      </c>
      <c r="E13" s="111">
        <v>304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435</v>
      </c>
      <c r="D15" s="89">
        <v>266.51</v>
      </c>
      <c r="E15" s="90">
        <v>80</v>
      </c>
      <c r="F15" s="91" t="s">
        <v>60</v>
      </c>
      <c r="G15" s="92">
        <f>601552/614193</f>
        <v>0.97941852153964637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230</v>
      </c>
      <c r="D17" s="96">
        <v>268.99</v>
      </c>
      <c r="E17" s="97">
        <v>69</v>
      </c>
      <c r="F17" s="91" t="s">
        <v>61</v>
      </c>
      <c r="G17" s="92">
        <f>C21/C15</f>
        <v>0.95862068965517244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251</v>
      </c>
      <c r="D19" s="106">
        <v>265.68</v>
      </c>
      <c r="E19" s="107">
        <v>50</v>
      </c>
      <c r="F19" s="91" t="s">
        <v>62</v>
      </c>
      <c r="G19" s="92">
        <f>C23/C15</f>
        <v>1.8390804597701149E-2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417</v>
      </c>
      <c r="D21" s="106">
        <v>257.36</v>
      </c>
      <c r="E21" s="107">
        <v>66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8</v>
      </c>
      <c r="D23" s="110">
        <v>262.39</v>
      </c>
      <c r="E23" s="111">
        <v>153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169</v>
      </c>
      <c r="D25" s="89">
        <v>314.62</v>
      </c>
      <c r="E25" s="123">
        <v>152</v>
      </c>
      <c r="F25" s="91" t="s">
        <v>60</v>
      </c>
      <c r="G25" s="92">
        <f>1177610/1254726</f>
        <v>0.93853956959527418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69</v>
      </c>
      <c r="D27" s="96">
        <v>307.83999999999997</v>
      </c>
      <c r="E27" s="97">
        <v>101</v>
      </c>
      <c r="F27" s="91" t="s">
        <v>61</v>
      </c>
      <c r="G27" s="92">
        <f>C31/C25</f>
        <v>0.37278106508875741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37</v>
      </c>
      <c r="D29" s="106">
        <v>330.51</v>
      </c>
      <c r="E29" s="107">
        <v>93</v>
      </c>
      <c r="F29" s="91" t="s">
        <v>62</v>
      </c>
      <c r="G29" s="92">
        <f>C33/C25</f>
        <v>4.7337278106508875E-2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63</v>
      </c>
      <c r="D31" s="106">
        <v>294.23</v>
      </c>
      <c r="E31" s="107">
        <v>117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8</v>
      </c>
      <c r="D33" s="126">
        <v>266.83</v>
      </c>
      <c r="E33" s="111">
        <v>193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141</v>
      </c>
      <c r="D35" s="89">
        <v>390.03</v>
      </c>
      <c r="E35" s="123">
        <v>160</v>
      </c>
      <c r="F35" s="91" t="s">
        <v>60</v>
      </c>
      <c r="G35" s="92">
        <f>1620322/1704583</f>
        <v>0.95056796882287342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32</v>
      </c>
      <c r="D37" s="96">
        <v>368.02</v>
      </c>
      <c r="E37" s="133">
        <v>132</v>
      </c>
      <c r="F37" s="91" t="s">
        <v>61</v>
      </c>
      <c r="G37" s="92">
        <f>C41/C35</f>
        <v>0.16312056737588654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20</v>
      </c>
      <c r="D39" s="106">
        <v>389.51</v>
      </c>
      <c r="E39" s="107">
        <v>101</v>
      </c>
      <c r="F39" s="91" t="s">
        <v>62</v>
      </c>
      <c r="G39" s="92">
        <f>C43/C35</f>
        <v>7.0921985815602835E-3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23</v>
      </c>
      <c r="D41" s="106">
        <v>327.23</v>
      </c>
      <c r="E41" s="107">
        <v>219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10">
        <v>385</v>
      </c>
      <c r="E43" s="107">
        <v>405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144</v>
      </c>
      <c r="D45" s="89">
        <v>462.59</v>
      </c>
      <c r="E45" s="123">
        <v>218</v>
      </c>
      <c r="F45" s="91" t="s">
        <v>60</v>
      </c>
      <c r="G45" s="92">
        <f>2404183/2483100</f>
        <v>0.96821835608714912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17</v>
      </c>
      <c r="D47" s="96">
        <v>479.07</v>
      </c>
      <c r="E47" s="133">
        <v>242</v>
      </c>
      <c r="F47" s="91" t="s">
        <v>61</v>
      </c>
      <c r="G47" s="92">
        <f>C51/C45</f>
        <v>6.25E-2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17</v>
      </c>
      <c r="D49" s="106">
        <v>456.37</v>
      </c>
      <c r="E49" s="107">
        <v>147</v>
      </c>
      <c r="F49" s="91" t="s">
        <v>62</v>
      </c>
      <c r="G49" s="92">
        <f>C53/C45</f>
        <v>1.3888888888888888E-2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9</v>
      </c>
      <c r="D51" s="106">
        <v>440.18</v>
      </c>
      <c r="E51" s="107">
        <v>186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519.16</v>
      </c>
      <c r="E53" s="111">
        <v>341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130</v>
      </c>
      <c r="D55" s="89">
        <v>661.38</v>
      </c>
      <c r="E55" s="123">
        <v>296</v>
      </c>
      <c r="F55" s="91" t="s">
        <v>60</v>
      </c>
      <c r="G55" s="164">
        <f>3557143/3783857</f>
        <v>0.94008388794819675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10</v>
      </c>
      <c r="D57" s="96">
        <v>599.02</v>
      </c>
      <c r="E57" s="133">
        <v>394</v>
      </c>
      <c r="F57" s="91" t="s">
        <v>61</v>
      </c>
      <c r="G57" s="92">
        <f>C61/C55</f>
        <v>5.3846153846153849E-2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14</v>
      </c>
      <c r="D59" s="157">
        <v>610</v>
      </c>
      <c r="E59" s="133">
        <v>24</v>
      </c>
      <c r="F59" s="91" t="s">
        <v>62</v>
      </c>
      <c r="G59" s="92">
        <f>C63/C55</f>
        <v>1.5384615384615385E-2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7</v>
      </c>
      <c r="D61" s="157">
        <v>552.24</v>
      </c>
      <c r="E61" s="142">
        <v>330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665.83</v>
      </c>
      <c r="E63" s="142">
        <v>1265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125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6A7-DD4A-47C1-81F9-2156B877310D}">
  <dimension ref="A1:M65"/>
  <sheetViews>
    <sheetView view="pageBreakPreview" zoomScaleNormal="100" zoomScaleSheetLayoutView="100" workbookViewId="0">
      <selection activeCell="J26" sqref="J26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9.269531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9" ht="17.5" x14ac:dyDescent="0.35">
      <c r="A1" s="72" t="s">
        <v>225</v>
      </c>
      <c r="B1" s="171"/>
      <c r="C1" s="73"/>
      <c r="D1" s="74"/>
      <c r="E1" s="74"/>
      <c r="F1" s="74"/>
      <c r="G1" s="75"/>
    </row>
    <row r="2" spans="1:9" ht="17.5" x14ac:dyDescent="0.35">
      <c r="A2" s="76" t="s">
        <v>54</v>
      </c>
      <c r="B2" s="1"/>
      <c r="G2" s="77"/>
    </row>
    <row r="3" spans="1:9" ht="16" thickBot="1" x14ac:dyDescent="0.4">
      <c r="A3" s="78"/>
      <c r="B3" s="79"/>
      <c r="E3" t="s">
        <v>55</v>
      </c>
      <c r="G3" s="80"/>
    </row>
    <row r="4" spans="1:9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9" ht="15.5" x14ac:dyDescent="0.35">
      <c r="A5" s="78" t="s">
        <v>1</v>
      </c>
      <c r="B5" s="87" t="s">
        <v>28</v>
      </c>
      <c r="C5" s="88">
        <v>1240</v>
      </c>
      <c r="D5" s="177">
        <v>671.12</v>
      </c>
      <c r="E5" s="90">
        <v>100</v>
      </c>
      <c r="F5" s="91" t="s">
        <v>60</v>
      </c>
      <c r="G5" s="92">
        <f>1468246/1502139</f>
        <v>0.97743684173035916</v>
      </c>
      <c r="I5" s="178">
        <v>3163989111</v>
      </c>
    </row>
    <row r="6" spans="1:9" ht="5.25" customHeight="1" x14ac:dyDescent="0.35">
      <c r="A6" s="78"/>
      <c r="B6" s="93"/>
      <c r="C6" s="93"/>
      <c r="D6" s="166"/>
      <c r="E6" s="161"/>
      <c r="F6" s="26"/>
      <c r="G6" s="80"/>
      <c r="I6" s="178"/>
    </row>
    <row r="7" spans="1:9" ht="15.5" x14ac:dyDescent="0.35">
      <c r="A7" s="78"/>
      <c r="B7" s="94" t="s">
        <v>31</v>
      </c>
      <c r="C7" s="95">
        <v>216</v>
      </c>
      <c r="D7" s="167">
        <v>521.57000000000005</v>
      </c>
      <c r="E7" s="97">
        <v>78</v>
      </c>
      <c r="F7" s="91" t="s">
        <v>61</v>
      </c>
      <c r="G7" s="92">
        <f>C11/C5</f>
        <v>0.26129032258064516</v>
      </c>
      <c r="I7" s="178">
        <f>I5/1240</f>
        <v>2551604.1217741934</v>
      </c>
    </row>
    <row r="8" spans="1:9" ht="6" customHeight="1" x14ac:dyDescent="0.35">
      <c r="A8" s="78"/>
      <c r="B8" s="93"/>
      <c r="C8" s="98"/>
      <c r="D8" s="168"/>
      <c r="E8" s="100"/>
      <c r="F8" s="101"/>
      <c r="G8" s="102"/>
      <c r="I8" s="178"/>
    </row>
    <row r="9" spans="1:9" ht="15.5" x14ac:dyDescent="0.35">
      <c r="A9" s="103"/>
      <c r="B9" s="104" t="s">
        <v>32</v>
      </c>
      <c r="C9" s="105">
        <v>236</v>
      </c>
      <c r="D9" s="169">
        <v>523.39</v>
      </c>
      <c r="E9" s="107">
        <v>71</v>
      </c>
      <c r="F9" s="91" t="s">
        <v>62</v>
      </c>
      <c r="G9" s="92">
        <f>C13/C5</f>
        <v>9.6774193548387101E-3</v>
      </c>
      <c r="I9" s="178">
        <f>I7/3802</f>
        <v>671.1215470210924</v>
      </c>
    </row>
    <row r="10" spans="1:9" ht="6" customHeight="1" x14ac:dyDescent="0.35">
      <c r="A10" s="78"/>
      <c r="B10" s="93"/>
      <c r="C10" s="98"/>
      <c r="D10" s="168"/>
      <c r="E10" s="100"/>
      <c r="G10" s="77"/>
    </row>
    <row r="11" spans="1:9" ht="15.5" x14ac:dyDescent="0.35">
      <c r="A11" s="103"/>
      <c r="B11" s="104" t="s">
        <v>33</v>
      </c>
      <c r="C11" s="105">
        <v>324</v>
      </c>
      <c r="D11" s="169">
        <v>470.09</v>
      </c>
      <c r="E11" s="107">
        <v>75</v>
      </c>
      <c r="G11" s="77"/>
    </row>
    <row r="12" spans="1:9" ht="6" customHeight="1" x14ac:dyDescent="0.35">
      <c r="A12" s="78"/>
      <c r="B12" s="93"/>
      <c r="C12" s="98"/>
      <c r="D12" s="168"/>
      <c r="E12" s="100"/>
      <c r="F12" s="101"/>
      <c r="G12" s="102"/>
    </row>
    <row r="13" spans="1:9" ht="16" thickBot="1" x14ac:dyDescent="0.4">
      <c r="A13" s="103"/>
      <c r="B13" s="108" t="s">
        <v>63</v>
      </c>
      <c r="C13" s="109">
        <v>12</v>
      </c>
      <c r="D13" s="170">
        <v>451.72</v>
      </c>
      <c r="E13" s="111">
        <v>151</v>
      </c>
      <c r="F13" s="112"/>
      <c r="G13" s="113"/>
    </row>
    <row r="14" spans="1:9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9" ht="15.5" x14ac:dyDescent="0.35">
      <c r="A15" s="78" t="s">
        <v>38</v>
      </c>
      <c r="B15" s="87" t="s">
        <v>28</v>
      </c>
      <c r="C15" s="88">
        <v>314</v>
      </c>
      <c r="D15" s="89">
        <v>400.99</v>
      </c>
      <c r="E15" s="90">
        <v>78</v>
      </c>
      <c r="F15" s="91" t="s">
        <v>60</v>
      </c>
      <c r="G15" s="92">
        <f>755293/769827</f>
        <v>0.98112043355195389</v>
      </c>
    </row>
    <row r="16" spans="1:9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75</v>
      </c>
      <c r="D17" s="96">
        <v>408.49</v>
      </c>
      <c r="E17" s="97">
        <v>58</v>
      </c>
      <c r="F17" s="91" t="s">
        <v>61</v>
      </c>
      <c r="G17" s="92">
        <f>C21/C15</f>
        <v>0.43949044585987262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96</v>
      </c>
      <c r="D19" s="106">
        <v>400.53</v>
      </c>
      <c r="E19" s="107">
        <v>51</v>
      </c>
      <c r="F19" s="91" t="s">
        <v>62</v>
      </c>
      <c r="G19" s="92">
        <f>C23/C15</f>
        <v>2.2292993630573247E-2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138</v>
      </c>
      <c r="D21" s="106">
        <v>380.9</v>
      </c>
      <c r="E21" s="107">
        <v>74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7</v>
      </c>
      <c r="D23" s="110">
        <v>415.44</v>
      </c>
      <c r="E23" s="111">
        <v>131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247</v>
      </c>
      <c r="D25" s="96">
        <v>455.09</v>
      </c>
      <c r="E25" s="90">
        <v>88</v>
      </c>
      <c r="F25" s="91" t="s">
        <v>60</v>
      </c>
      <c r="G25" s="92">
        <f>1235570/1277176</f>
        <v>0.96742344046552708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39</v>
      </c>
      <c r="D27" s="106">
        <v>430.17</v>
      </c>
      <c r="E27" s="97">
        <v>77</v>
      </c>
      <c r="F27" s="91" t="s">
        <v>61</v>
      </c>
      <c r="G27" s="92">
        <f>C31/C25</f>
        <v>0.2874493927125506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50</v>
      </c>
      <c r="D29" s="96">
        <v>444.47</v>
      </c>
      <c r="E29" s="107">
        <v>58</v>
      </c>
      <c r="F29" s="91" t="s">
        <v>62</v>
      </c>
      <c r="G29" s="92">
        <v>0.7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71</v>
      </c>
      <c r="D31" s="106">
        <v>442.3</v>
      </c>
      <c r="E31" s="107">
        <v>70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2</v>
      </c>
      <c r="D33" s="110">
        <v>460.64</v>
      </c>
      <c r="E33" s="111">
        <v>194</v>
      </c>
      <c r="F33" s="173"/>
      <c r="G33" s="113"/>
    </row>
    <row r="34" spans="1:13" ht="5.25" customHeight="1" thickBot="1" x14ac:dyDescent="0.4">
      <c r="A34" s="85"/>
      <c r="B34" s="127"/>
      <c r="C34" s="128"/>
      <c r="D34" s="114"/>
      <c r="E34" s="130"/>
      <c r="F34" s="175"/>
      <c r="G34" s="119"/>
    </row>
    <row r="35" spans="1:13" ht="15.5" x14ac:dyDescent="0.35">
      <c r="A35" s="122" t="s">
        <v>66</v>
      </c>
      <c r="B35" s="87" t="s">
        <v>28</v>
      </c>
      <c r="C35" s="88">
        <v>169</v>
      </c>
      <c r="D35" s="176">
        <v>497.63</v>
      </c>
      <c r="E35" s="90">
        <v>77</v>
      </c>
      <c r="F35" s="91" t="s">
        <v>60</v>
      </c>
      <c r="G35" s="92">
        <f>1693388/1739309</f>
        <v>0.97359813581140553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39</v>
      </c>
      <c r="D37" s="106">
        <v>527.15</v>
      </c>
      <c r="E37" s="97">
        <v>86</v>
      </c>
      <c r="F37" s="91" t="s">
        <v>61</v>
      </c>
      <c r="G37" s="92">
        <f>C41/C35</f>
        <v>0.31360946745562129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21</v>
      </c>
      <c r="D39" s="96">
        <v>551.74</v>
      </c>
      <c r="E39" s="107">
        <v>56</v>
      </c>
      <c r="F39" s="91" t="s">
        <v>62</v>
      </c>
      <c r="G39" s="92">
        <f>C43/C35</f>
        <v>5.9171597633136093E-3</v>
      </c>
      <c r="H39" s="134"/>
      <c r="I39" s="135">
        <v>293000543</v>
      </c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53</v>
      </c>
      <c r="D41" s="106">
        <v>503.94</v>
      </c>
      <c r="E41" s="107">
        <v>61</v>
      </c>
      <c r="F41" s="26"/>
      <c r="G41" s="80"/>
      <c r="H41" s="137"/>
      <c r="I41" s="135">
        <f>I39/169</f>
        <v>1733731.0236686391</v>
      </c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466.94</v>
      </c>
      <c r="E43" s="111">
        <v>113</v>
      </c>
      <c r="F43" s="173"/>
      <c r="G43" s="113"/>
      <c r="H43" s="137"/>
      <c r="I43" s="135">
        <f>I41/3484</f>
        <v>497.62658543875978</v>
      </c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75"/>
      <c r="G44" s="119"/>
    </row>
    <row r="45" spans="1:13" ht="15.5" x14ac:dyDescent="0.35">
      <c r="A45" s="122" t="s">
        <v>67</v>
      </c>
      <c r="B45" s="87" t="s">
        <v>28</v>
      </c>
      <c r="C45" s="88">
        <v>218</v>
      </c>
      <c r="D45" s="96">
        <v>620.17999999999995</v>
      </c>
      <c r="E45" s="90">
        <v>94</v>
      </c>
      <c r="F45" s="91" t="s">
        <v>60</v>
      </c>
      <c r="G45" s="92">
        <f>2473066/2487877</f>
        <v>0.99404673140995314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31</v>
      </c>
      <c r="D47" s="106">
        <v>621.24</v>
      </c>
      <c r="E47" s="97">
        <v>91</v>
      </c>
      <c r="F47" s="91" t="s">
        <v>61</v>
      </c>
      <c r="G47" s="92">
        <f>C51/C45</f>
        <v>0.1743119266055046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37</v>
      </c>
      <c r="D49" s="96">
        <v>598.99</v>
      </c>
      <c r="E49" s="107">
        <v>124</v>
      </c>
      <c r="F49" s="91" t="s">
        <v>62</v>
      </c>
      <c r="G49" s="92">
        <f>C53/C45</f>
        <v>9.1743119266055051E-3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38</v>
      </c>
      <c r="D51" s="106">
        <v>619.03</v>
      </c>
      <c r="E51" s="107">
        <v>65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562.15</v>
      </c>
      <c r="E53" s="111">
        <v>194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292</v>
      </c>
      <c r="D55" s="89">
        <v>913.4</v>
      </c>
      <c r="E55" s="123">
        <v>151</v>
      </c>
      <c r="F55" s="91" t="s">
        <v>60</v>
      </c>
      <c r="G55" s="164">
        <f>4586812/4724905</f>
        <v>0.97077338062881691</v>
      </c>
      <c r="H55" s="49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32</v>
      </c>
      <c r="D57" s="96">
        <v>794.63</v>
      </c>
      <c r="E57" s="133">
        <v>107</v>
      </c>
      <c r="F57" s="91" t="s">
        <v>61</v>
      </c>
      <c r="G57" s="92">
        <f>C61/C55</f>
        <v>7.1917808219178078E-2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32</v>
      </c>
      <c r="D59" s="106">
        <v>909.26</v>
      </c>
      <c r="E59" s="107">
        <v>102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21</v>
      </c>
      <c r="D61" s="106">
        <v>799.19</v>
      </c>
      <c r="E61" s="107">
        <v>151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11" t="s">
        <v>30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224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CB89-866A-4C63-AA19-3647BE1A380F}">
  <sheetPr codeName="Sheet28"/>
  <dimension ref="A1:K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122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1205</v>
      </c>
      <c r="D5" s="89">
        <v>357.5</v>
      </c>
      <c r="E5" s="90">
        <v>150</v>
      </c>
      <c r="F5" s="91" t="s">
        <v>60</v>
      </c>
      <c r="G5" s="92">
        <f>795847/821477</f>
        <v>0.96880010030712971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325</v>
      </c>
      <c r="D7" s="96">
        <v>294.93</v>
      </c>
      <c r="E7" s="97">
        <v>109</v>
      </c>
      <c r="F7" s="91" t="s">
        <v>61</v>
      </c>
      <c r="G7" s="92">
        <f>C11/C5</f>
        <v>0.26556016597510373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272</v>
      </c>
      <c r="D9" s="106">
        <v>291.33</v>
      </c>
      <c r="E9" s="107">
        <v>70</v>
      </c>
      <c r="F9" s="91" t="s">
        <v>62</v>
      </c>
      <c r="G9" s="92">
        <f>C13/C5</f>
        <v>3.3195020746887967E-2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320</v>
      </c>
      <c r="D11" s="106">
        <v>278.2</v>
      </c>
      <c r="E11" s="107">
        <v>83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40</v>
      </c>
      <c r="D13" s="110">
        <v>313.95999999999998</v>
      </c>
      <c r="E13" s="111">
        <v>226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555</v>
      </c>
      <c r="D15" s="89">
        <v>265.27999999999997</v>
      </c>
      <c r="E15" s="90">
        <v>85</v>
      </c>
      <c r="F15" s="91" t="s">
        <v>60</v>
      </c>
      <c r="G15" s="92">
        <f>590435/603218</f>
        <v>0.97880865624036417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234</v>
      </c>
      <c r="D17" s="96">
        <v>266.14999999999998</v>
      </c>
      <c r="E17" s="97">
        <v>77</v>
      </c>
      <c r="F17" s="91" t="s">
        <v>61</v>
      </c>
      <c r="G17" s="92">
        <f>C21/C15</f>
        <v>0.46126126126126127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203</v>
      </c>
      <c r="D19" s="106">
        <v>259.89999999999998</v>
      </c>
      <c r="E19" s="107">
        <v>43</v>
      </c>
      <c r="F19" s="91" t="s">
        <v>62</v>
      </c>
      <c r="G19" s="92">
        <f>C23/C15</f>
        <v>3.9639639639639637E-2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256</v>
      </c>
      <c r="D21" s="106">
        <v>256.93</v>
      </c>
      <c r="E21" s="107">
        <v>59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22</v>
      </c>
      <c r="D23" s="110">
        <v>254.53</v>
      </c>
      <c r="E23" s="111">
        <v>160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200</v>
      </c>
      <c r="D25" s="89">
        <v>311.72000000000003</v>
      </c>
      <c r="E25" s="123">
        <v>151</v>
      </c>
      <c r="F25" s="91" t="s">
        <v>60</v>
      </c>
      <c r="G25" s="92">
        <f>1145286/1212364</f>
        <v>0.94467173225202994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54</v>
      </c>
      <c r="D27" s="96">
        <v>322.25</v>
      </c>
      <c r="E27" s="97">
        <v>113</v>
      </c>
      <c r="F27" s="91" t="s">
        <v>61</v>
      </c>
      <c r="G27" s="92">
        <f>C31/C25</f>
        <v>0.16500000000000001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36</v>
      </c>
      <c r="D29" s="106">
        <v>307.18</v>
      </c>
      <c r="E29" s="107">
        <v>111</v>
      </c>
      <c r="F29" s="91" t="s">
        <v>62</v>
      </c>
      <c r="G29" s="92">
        <f>C33/C25</f>
        <v>4.4999999999999998E-2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33</v>
      </c>
      <c r="D31" s="106">
        <v>297.19</v>
      </c>
      <c r="E31" s="107">
        <v>168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9</v>
      </c>
      <c r="D33" s="126">
        <v>294.36</v>
      </c>
      <c r="E33" s="111">
        <v>310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155</v>
      </c>
      <c r="D35" s="89">
        <v>392.46</v>
      </c>
      <c r="E35" s="123">
        <v>159</v>
      </c>
      <c r="F35" s="91" t="s">
        <v>60</v>
      </c>
      <c r="G35" s="92">
        <f>1651062/1727062</f>
        <v>0.95599463134502405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20</v>
      </c>
      <c r="D37" s="96">
        <v>357.56</v>
      </c>
      <c r="E37" s="133">
        <v>225</v>
      </c>
      <c r="F37" s="91" t="s">
        <v>61</v>
      </c>
      <c r="G37" s="92">
        <f>C41/C35</f>
        <v>0.1032258064516129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14</v>
      </c>
      <c r="D39" s="106">
        <v>384.65</v>
      </c>
      <c r="E39" s="107">
        <v>118</v>
      </c>
      <c r="F39" s="91" t="s">
        <v>62</v>
      </c>
      <c r="G39" s="92">
        <f>C43/C35</f>
        <v>1.935483870967742E-2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16</v>
      </c>
      <c r="D41" s="106">
        <v>359.78</v>
      </c>
      <c r="E41" s="107">
        <v>149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3</v>
      </c>
      <c r="D43" s="110">
        <v>332.66</v>
      </c>
      <c r="E43" s="107">
        <v>175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159</v>
      </c>
      <c r="D45" s="89">
        <v>449.84</v>
      </c>
      <c r="E45" s="123">
        <v>225</v>
      </c>
      <c r="F45" s="91" t="s">
        <v>60</v>
      </c>
      <c r="G45" s="92">
        <f>2382361/2413983</f>
        <v>0.98690048770020333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501.21</v>
      </c>
      <c r="E47" s="133">
        <v>209</v>
      </c>
      <c r="F47" s="91" t="s">
        <v>61</v>
      </c>
      <c r="G47" s="92">
        <f>C51/C45</f>
        <v>7.5471698113207544E-2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10</v>
      </c>
      <c r="D49" s="106">
        <v>456.55</v>
      </c>
      <c r="E49" s="107">
        <v>161</v>
      </c>
      <c r="F49" s="91" t="s">
        <v>62</v>
      </c>
      <c r="G49" s="92">
        <f>C53/C45</f>
        <v>2.5157232704402517E-2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12</v>
      </c>
      <c r="D51" s="106">
        <v>504.98</v>
      </c>
      <c r="E51" s="107">
        <v>184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533.19000000000005</v>
      </c>
      <c r="E53" s="111">
        <v>457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136</v>
      </c>
      <c r="D55" s="89">
        <v>653.38</v>
      </c>
      <c r="E55" s="123">
        <v>316</v>
      </c>
      <c r="F55" s="91" t="s">
        <v>60</v>
      </c>
      <c r="G55" s="164">
        <f>3573333/3946667</f>
        <v>0.90540524447590842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8</v>
      </c>
      <c r="D57" s="96">
        <v>563.45000000000005</v>
      </c>
      <c r="E57" s="133">
        <v>624</v>
      </c>
      <c r="F57" s="91" t="s">
        <v>61</v>
      </c>
      <c r="G57" s="92">
        <f>C61/C55</f>
        <v>2.2058823529411766E-2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9</v>
      </c>
      <c r="D59" s="157">
        <v>607.97</v>
      </c>
      <c r="E59" s="133">
        <v>339</v>
      </c>
      <c r="F59" s="91" t="s">
        <v>62</v>
      </c>
      <c r="G59" s="92">
        <f>C63/C55</f>
        <v>1.4705882352941176E-2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</v>
      </c>
      <c r="D61" s="157">
        <v>542.99</v>
      </c>
      <c r="E61" s="142">
        <v>381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589.42999999999995</v>
      </c>
      <c r="E63" s="110">
        <v>194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123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D1912-3832-4DDE-8CC2-7A902E802479}">
  <sheetPr codeName="Sheet29"/>
  <dimension ref="A1:K65"/>
  <sheetViews>
    <sheetView view="pageBreakPreview" zoomScaleNormal="100" zoomScaleSheetLayoutView="100" workbookViewId="0">
      <selection activeCell="J39" sqref="J3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120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1319</v>
      </c>
      <c r="D5" s="89">
        <v>345.74</v>
      </c>
      <c r="E5" s="90">
        <v>142</v>
      </c>
      <c r="F5" s="91" t="s">
        <v>60</v>
      </c>
      <c r="G5" s="92">
        <f>870574/905209</f>
        <v>0.96173811793740449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202</v>
      </c>
      <c r="D7" s="96">
        <v>293.41000000000003</v>
      </c>
      <c r="E7" s="97">
        <v>92</v>
      </c>
      <c r="F7" s="91" t="s">
        <v>61</v>
      </c>
      <c r="G7" s="92">
        <f>C11/C5</f>
        <v>0.25398028809704321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219</v>
      </c>
      <c r="D9" s="106">
        <v>294.12</v>
      </c>
      <c r="E9" s="107">
        <v>78</v>
      </c>
      <c r="F9" s="91" t="s">
        <v>62</v>
      </c>
      <c r="G9" s="92">
        <f>C13/C5</f>
        <v>1.9711902956785442E-2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335</v>
      </c>
      <c r="D11" s="106">
        <v>285.14999999999998</v>
      </c>
      <c r="E11" s="107">
        <v>87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26</v>
      </c>
      <c r="D13" s="110">
        <v>304.68</v>
      </c>
      <c r="E13" s="111">
        <v>214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662</v>
      </c>
      <c r="D15" s="89">
        <v>263.92</v>
      </c>
      <c r="E15" s="90">
        <v>72</v>
      </c>
      <c r="F15" s="91" t="s">
        <v>60</v>
      </c>
      <c r="G15" s="92">
        <f>621277/631435</f>
        <v>0.98391283346662761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151</v>
      </c>
      <c r="D17" s="96">
        <v>259.99</v>
      </c>
      <c r="E17" s="97">
        <v>67</v>
      </c>
      <c r="F17" s="91" t="s">
        <v>61</v>
      </c>
      <c r="G17" s="92">
        <f>C21/C15</f>
        <v>0.37915407854984895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167</v>
      </c>
      <c r="D19" s="106">
        <v>257.85000000000002</v>
      </c>
      <c r="E19" s="107">
        <v>62</v>
      </c>
      <c r="F19" s="91" t="s">
        <v>62</v>
      </c>
      <c r="G19" s="92">
        <f>C23/C15</f>
        <v>2.4169184290030211E-2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251</v>
      </c>
      <c r="D21" s="106">
        <v>262.99</v>
      </c>
      <c r="E21" s="107">
        <v>66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16</v>
      </c>
      <c r="D23" s="110">
        <v>250.82</v>
      </c>
      <c r="E23" s="111">
        <v>134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224</v>
      </c>
      <c r="D25" s="89">
        <v>309.23</v>
      </c>
      <c r="E25" s="123">
        <v>146</v>
      </c>
      <c r="F25" s="91" t="s">
        <v>60</v>
      </c>
      <c r="G25" s="92">
        <f>1163450/1242559</f>
        <v>0.93633380789161724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29</v>
      </c>
      <c r="D27" s="96">
        <v>310.01400000000001</v>
      </c>
      <c r="E27" s="97">
        <v>175</v>
      </c>
      <c r="F27" s="91" t="s">
        <v>61</v>
      </c>
      <c r="G27" s="92">
        <f>C31/C25</f>
        <v>0.22321428571428573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19</v>
      </c>
      <c r="D29" s="106">
        <v>323.52</v>
      </c>
      <c r="E29" s="107">
        <v>92</v>
      </c>
      <c r="F29" s="91" t="s">
        <v>62</v>
      </c>
      <c r="G29" s="92">
        <f>C33/C25</f>
        <v>1.7857142857142856E-2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50</v>
      </c>
      <c r="D31" s="106">
        <v>298.16000000000003</v>
      </c>
      <c r="E31" s="107">
        <v>132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314.81</v>
      </c>
      <c r="E33" s="111">
        <v>352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141</v>
      </c>
      <c r="D35" s="89">
        <v>386.72</v>
      </c>
      <c r="E35" s="123">
        <v>170</v>
      </c>
      <c r="F35" s="91" t="s">
        <v>60</v>
      </c>
      <c r="G35" s="92">
        <f>1719723/1769811</f>
        <v>0.97169867290914114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10</v>
      </c>
      <c r="D37" s="96">
        <v>389.57</v>
      </c>
      <c r="E37" s="133">
        <v>120</v>
      </c>
      <c r="F37" s="91" t="s">
        <v>61</v>
      </c>
      <c r="G37" s="92">
        <f>C41/C35</f>
        <v>0.14893617021276595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15</v>
      </c>
      <c r="D39" s="106">
        <v>376.88</v>
      </c>
      <c r="E39" s="107">
        <v>152</v>
      </c>
      <c r="F39" s="91" t="s">
        <v>62</v>
      </c>
      <c r="G39" s="92">
        <f>C43/C35</f>
        <v>2.1276595744680851E-2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21</v>
      </c>
      <c r="D41" s="106">
        <v>370.32</v>
      </c>
      <c r="E41" s="107">
        <v>157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3</v>
      </c>
      <c r="D43" s="110">
        <v>438.98</v>
      </c>
      <c r="E43" s="107">
        <v>396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155</v>
      </c>
      <c r="D45" s="89">
        <v>456.35</v>
      </c>
      <c r="E45" s="123">
        <v>229</v>
      </c>
      <c r="F45" s="91" t="s">
        <v>60</v>
      </c>
      <c r="G45" s="92">
        <f>2275000/2458127</f>
        <v>0.92550140818598881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8</v>
      </c>
      <c r="D47" s="96">
        <v>542.28</v>
      </c>
      <c r="E47" s="133">
        <v>138</v>
      </c>
      <c r="F47" s="91" t="s">
        <v>61</v>
      </c>
      <c r="G47" s="92">
        <f>C51/C45</f>
        <v>4.5161290322580643E-2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12</v>
      </c>
      <c r="D49" s="106">
        <v>485.58</v>
      </c>
      <c r="E49" s="107">
        <v>138</v>
      </c>
      <c r="F49" s="91" t="s">
        <v>62</v>
      </c>
      <c r="G49" s="92">
        <f>C53/C45</f>
        <v>0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7</v>
      </c>
      <c r="D51" s="106">
        <v>398.68</v>
      </c>
      <c r="E51" s="107">
        <v>160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137</v>
      </c>
      <c r="D55" s="89">
        <v>633.49</v>
      </c>
      <c r="E55" s="123">
        <v>345</v>
      </c>
      <c r="F55" s="91" t="s">
        <v>60</v>
      </c>
      <c r="G55" s="164">
        <f>4248333/4709000</f>
        <v>0.90217307283924397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4</v>
      </c>
      <c r="D57" s="96">
        <v>696.87</v>
      </c>
      <c r="E57" s="133">
        <v>262</v>
      </c>
      <c r="F57" s="91" t="s">
        <v>61</v>
      </c>
      <c r="G57" s="92">
        <f>C61/C55</f>
        <v>4.3795620437956206E-2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6</v>
      </c>
      <c r="D59" s="157">
        <v>620.61</v>
      </c>
      <c r="E59" s="133">
        <v>165</v>
      </c>
      <c r="F59" s="91" t="s">
        <v>62</v>
      </c>
      <c r="G59" s="92">
        <f>C63/C55</f>
        <v>2.1897810218978103E-2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6</v>
      </c>
      <c r="D61" s="157">
        <v>673.1</v>
      </c>
      <c r="E61" s="142">
        <v>230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3</v>
      </c>
      <c r="D63" s="110">
        <v>444.11</v>
      </c>
      <c r="E63" s="110">
        <v>276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121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7347A-D3A5-48A1-8FAB-399BD5831B13}">
  <sheetPr codeName="Sheet30"/>
  <dimension ref="A1:K65"/>
  <sheetViews>
    <sheetView view="pageBreakPreview" zoomScaleNormal="100" zoomScaleSheetLayoutView="100" workbookViewId="0">
      <selection activeCell="C47" sqref="C47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119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1318</v>
      </c>
      <c r="D5" s="89">
        <v>349.34</v>
      </c>
      <c r="E5" s="90">
        <v>138</v>
      </c>
      <c r="F5" s="91" t="s">
        <v>60</v>
      </c>
      <c r="G5" s="92">
        <f>912991/941365</f>
        <v>0.96985866268663057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209</v>
      </c>
      <c r="D7" s="96">
        <v>302.14999999999998</v>
      </c>
      <c r="E7" s="97">
        <v>103</v>
      </c>
      <c r="F7" s="91" t="s">
        <v>61</v>
      </c>
      <c r="G7" s="92">
        <f>C11/C5</f>
        <v>0.36949924127465855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255</v>
      </c>
      <c r="D9" s="106">
        <v>287.01</v>
      </c>
      <c r="E9" s="107">
        <v>84</v>
      </c>
      <c r="F9" s="91" t="s">
        <v>62</v>
      </c>
      <c r="G9" s="92">
        <f>C13/C5</f>
        <v>1.9726858877086494E-2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487</v>
      </c>
      <c r="D11" s="106">
        <v>284.24</v>
      </c>
      <c r="E11" s="107">
        <v>85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26</v>
      </c>
      <c r="D13" s="110">
        <v>324.23</v>
      </c>
      <c r="E13" s="111">
        <v>176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626</v>
      </c>
      <c r="D15" s="89">
        <v>265.63</v>
      </c>
      <c r="E15" s="90">
        <v>67</v>
      </c>
      <c r="F15" s="91" t="s">
        <v>60</v>
      </c>
      <c r="G15" s="92">
        <f>622854/631559</f>
        <v>0.986216648009133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151</v>
      </c>
      <c r="D17" s="96">
        <v>266.13</v>
      </c>
      <c r="E17" s="97">
        <v>91</v>
      </c>
      <c r="F17" s="91" t="s">
        <v>61</v>
      </c>
      <c r="G17" s="92">
        <f>C21/C15</f>
        <v>0.57028753993610226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183</v>
      </c>
      <c r="D19" s="106">
        <v>261.18</v>
      </c>
      <c r="E19" s="107">
        <v>57</v>
      </c>
      <c r="F19" s="91" t="s">
        <v>62</v>
      </c>
      <c r="G19" s="92">
        <f>C23/C15</f>
        <v>2.2364217252396165E-2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357</v>
      </c>
      <c r="D21" s="106">
        <v>255.73</v>
      </c>
      <c r="E21" s="107">
        <v>63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14</v>
      </c>
      <c r="D23" s="110">
        <v>253.8</v>
      </c>
      <c r="E23" s="111">
        <v>133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238</v>
      </c>
      <c r="D25" s="89">
        <v>310.08</v>
      </c>
      <c r="E25" s="123">
        <v>139</v>
      </c>
      <c r="F25" s="91" t="s">
        <v>60</v>
      </c>
      <c r="G25" s="92">
        <f>1172931/1225972</f>
        <v>0.9567355535036689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34</v>
      </c>
      <c r="D27" s="96">
        <v>318.75</v>
      </c>
      <c r="E27" s="97">
        <v>110</v>
      </c>
      <c r="F27" s="91" t="s">
        <v>61</v>
      </c>
      <c r="G27" s="92">
        <f>C31/C25</f>
        <v>0.28991596638655465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35</v>
      </c>
      <c r="D29" s="106">
        <v>312.83999999999997</v>
      </c>
      <c r="E29" s="107">
        <v>150</v>
      </c>
      <c r="F29" s="91" t="s">
        <v>62</v>
      </c>
      <c r="G29" s="92">
        <f>C33/C25</f>
        <v>1.680672268907563E-2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69</v>
      </c>
      <c r="D31" s="106">
        <v>304.10000000000002</v>
      </c>
      <c r="E31" s="107">
        <v>124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290.39</v>
      </c>
      <c r="E33" s="111">
        <v>123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155</v>
      </c>
      <c r="D35" s="89">
        <v>392.39</v>
      </c>
      <c r="E35" s="123">
        <v>165</v>
      </c>
      <c r="F35" s="91" t="s">
        <v>60</v>
      </c>
      <c r="G35" s="92">
        <f>1636322/1728105</f>
        <v>0.94688806525066471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10</v>
      </c>
      <c r="D37" s="96">
        <v>399.58</v>
      </c>
      <c r="E37" s="133">
        <v>106</v>
      </c>
      <c r="F37" s="91" t="s">
        <v>61</v>
      </c>
      <c r="G37" s="92">
        <f>C41/C35</f>
        <v>0.20645161290322581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22</v>
      </c>
      <c r="D39" s="106">
        <v>388.12</v>
      </c>
      <c r="E39" s="107">
        <v>148</v>
      </c>
      <c r="F39" s="91" t="s">
        <v>62</v>
      </c>
      <c r="G39" s="92">
        <f>C43/C35</f>
        <v>2.5806451612903226E-2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32</v>
      </c>
      <c r="D41" s="106">
        <v>355.74</v>
      </c>
      <c r="E41" s="107">
        <v>184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4</v>
      </c>
      <c r="D43" s="110">
        <v>312.24</v>
      </c>
      <c r="E43" s="107">
        <v>209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153</v>
      </c>
      <c r="D45" s="89">
        <v>456.05</v>
      </c>
      <c r="E45" s="123">
        <v>219</v>
      </c>
      <c r="F45" s="91" t="s">
        <v>60</v>
      </c>
      <c r="G45" s="92">
        <f>2334223/2444845</f>
        <v>0.95475295979908748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457.5</v>
      </c>
      <c r="E47" s="133">
        <v>216</v>
      </c>
      <c r="F47" s="91" t="s">
        <v>61</v>
      </c>
      <c r="G47" s="92">
        <f>C51/C45</f>
        <v>0.13071895424836602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7</v>
      </c>
      <c r="D49" s="106">
        <v>480.72</v>
      </c>
      <c r="E49" s="107">
        <v>102</v>
      </c>
      <c r="F49" s="91" t="s">
        <v>62</v>
      </c>
      <c r="G49" s="92">
        <f>C53/C45</f>
        <v>3.2679738562091505E-2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20</v>
      </c>
      <c r="D51" s="106">
        <v>443.64</v>
      </c>
      <c r="E51" s="107">
        <v>142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383.87</v>
      </c>
      <c r="E53" s="111">
        <v>243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146</v>
      </c>
      <c r="D55" s="89">
        <v>614.69000000000005</v>
      </c>
      <c r="E55" s="123">
        <v>327</v>
      </c>
      <c r="F55" s="91" t="s">
        <v>60</v>
      </c>
      <c r="G55" s="164">
        <f>4691111/4910000</f>
        <v>0.95541975560081471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5</v>
      </c>
      <c r="D57" s="96">
        <v>802.31</v>
      </c>
      <c r="E57" s="133">
        <v>189</v>
      </c>
      <c r="F57" s="91" t="s">
        <v>61</v>
      </c>
      <c r="G57" s="92">
        <f>C61/C55</f>
        <v>6.1643835616438353E-2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8</v>
      </c>
      <c r="D59" s="157">
        <v>668.17</v>
      </c>
      <c r="E59" s="133">
        <v>228</v>
      </c>
      <c r="F59" s="91" t="s">
        <v>62</v>
      </c>
      <c r="G59" s="92">
        <f>C63/C55</f>
        <v>6.8493150684931503E-3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9</v>
      </c>
      <c r="D61" s="157">
        <v>654.32000000000005</v>
      </c>
      <c r="E61" s="142">
        <v>154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</v>
      </c>
      <c r="D63" s="110">
        <v>1195.27</v>
      </c>
      <c r="E63" s="110">
        <v>520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118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4E9ED-CCDE-478E-9909-EB80AFF8F7AD}">
  <sheetPr codeName="Sheet31"/>
  <dimension ref="A1:K65"/>
  <sheetViews>
    <sheetView view="pageBreakPreview" topLeftCell="A10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116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1179</v>
      </c>
      <c r="D5" s="89">
        <v>364.36</v>
      </c>
      <c r="E5" s="90">
        <v>152</v>
      </c>
      <c r="F5" s="91" t="s">
        <v>60</v>
      </c>
      <c r="G5" s="92">
        <f>905106/934597</f>
        <v>0.96844522291426149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344</v>
      </c>
      <c r="D7" s="96">
        <v>287.11</v>
      </c>
      <c r="E7" s="97">
        <v>96</v>
      </c>
      <c r="F7" s="91" t="s">
        <v>61</v>
      </c>
      <c r="G7" s="92">
        <f>C11/C5</f>
        <v>0.37913486005089059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342</v>
      </c>
      <c r="D9" s="106">
        <v>300.16000000000003</v>
      </c>
      <c r="E9" s="107">
        <v>77</v>
      </c>
      <c r="F9" s="91" t="s">
        <v>62</v>
      </c>
      <c r="G9" s="92">
        <f>C13/C5</f>
        <v>1.2722646310432569E-2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447</v>
      </c>
      <c r="D11" s="106">
        <v>281.48</v>
      </c>
      <c r="E11" s="107">
        <v>93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15</v>
      </c>
      <c r="D13" s="110">
        <v>290.07</v>
      </c>
      <c r="E13" s="111">
        <v>158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477</v>
      </c>
      <c r="D15" s="89">
        <v>265.14</v>
      </c>
      <c r="E15" s="90">
        <v>88</v>
      </c>
      <c r="F15" s="91" t="s">
        <v>60</v>
      </c>
      <c r="G15" s="92">
        <f>604017/615827</f>
        <v>0.98082253619928972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248</v>
      </c>
      <c r="D17" s="96">
        <v>259.38</v>
      </c>
      <c r="E17" s="97">
        <v>76</v>
      </c>
      <c r="F17" s="91" t="s">
        <v>61</v>
      </c>
      <c r="G17" s="92">
        <f>C21/C15</f>
        <v>0.689727463312369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238</v>
      </c>
      <c r="D19" s="106">
        <v>256.77999999999997</v>
      </c>
      <c r="E19" s="107">
        <v>57</v>
      </c>
      <c r="F19" s="91" t="s">
        <v>62</v>
      </c>
      <c r="G19" s="92">
        <f>C23/C15</f>
        <v>1.6771488469601678E-2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329</v>
      </c>
      <c r="D21" s="106">
        <v>253.56</v>
      </c>
      <c r="E21" s="107">
        <v>71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8</v>
      </c>
      <c r="D23" s="110">
        <v>242.3</v>
      </c>
      <c r="E23" s="111">
        <v>61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227</v>
      </c>
      <c r="D25" s="89">
        <v>309.3</v>
      </c>
      <c r="E25" s="123">
        <v>142</v>
      </c>
      <c r="F25" s="91" t="s">
        <v>60</v>
      </c>
      <c r="G25" s="92">
        <f>1207957/1253688</f>
        <v>0.96352282226518882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62</v>
      </c>
      <c r="D27" s="96">
        <v>320.35000000000002</v>
      </c>
      <c r="E27" s="97">
        <v>120</v>
      </c>
      <c r="F27" s="91" t="s">
        <v>61</v>
      </c>
      <c r="G27" s="92">
        <f>C31/C25</f>
        <v>0.25110132158590309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44</v>
      </c>
      <c r="D29" s="106">
        <v>313.89999999999998</v>
      </c>
      <c r="E29" s="107">
        <v>88</v>
      </c>
      <c r="F29" s="91" t="s">
        <v>62</v>
      </c>
      <c r="G29" s="92">
        <f>C33/C25</f>
        <v>1.3215859030837005E-2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57</v>
      </c>
      <c r="D31" s="106">
        <v>301.77</v>
      </c>
      <c r="E31" s="107">
        <v>125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3</v>
      </c>
      <c r="D33" s="126">
        <v>249.52</v>
      </c>
      <c r="E33" s="111">
        <v>285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166</v>
      </c>
      <c r="D35" s="89">
        <v>384.88</v>
      </c>
      <c r="E35" s="123">
        <v>146</v>
      </c>
      <c r="F35" s="91" t="s">
        <v>60</v>
      </c>
      <c r="G35" s="92">
        <f>1693764/1762686</f>
        <v>0.96089944550532536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16</v>
      </c>
      <c r="D37" s="96">
        <v>372.12</v>
      </c>
      <c r="E37" s="133">
        <v>164</v>
      </c>
      <c r="F37" s="91" t="s">
        <v>61</v>
      </c>
      <c r="G37" s="92">
        <f>C41/C35</f>
        <v>0.19277108433734941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31</v>
      </c>
      <c r="D39" s="106">
        <v>390.39</v>
      </c>
      <c r="E39" s="107">
        <v>171</v>
      </c>
      <c r="F39" s="91" t="s">
        <v>62</v>
      </c>
      <c r="G39" s="92">
        <f>C43/C35</f>
        <v>0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32</v>
      </c>
      <c r="D41" s="106">
        <v>359.5</v>
      </c>
      <c r="E41" s="107">
        <v>185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0</v>
      </c>
      <c r="D43" s="110" t="s">
        <v>30</v>
      </c>
      <c r="E43" s="110" t="s">
        <v>30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148</v>
      </c>
      <c r="D45" s="89">
        <v>451.09</v>
      </c>
      <c r="E45" s="123">
        <v>226</v>
      </c>
      <c r="F45" s="91" t="s">
        <v>60</v>
      </c>
      <c r="G45" s="92">
        <f>2343075/2450295</f>
        <v>0.95624200351386257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11</v>
      </c>
      <c r="D47" s="96">
        <v>396.58</v>
      </c>
      <c r="E47" s="133">
        <v>247</v>
      </c>
      <c r="F47" s="91" t="s">
        <v>61</v>
      </c>
      <c r="G47" s="92">
        <f>C51/C45</f>
        <v>0.13513513513513514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20</v>
      </c>
      <c r="D49" s="106">
        <v>475.4</v>
      </c>
      <c r="E49" s="107">
        <v>103</v>
      </c>
      <c r="F49" s="91" t="s">
        <v>62</v>
      </c>
      <c r="G49" s="92">
        <f>C53/C45</f>
        <v>2.7027027027027029E-2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20</v>
      </c>
      <c r="D51" s="106">
        <v>436.11</v>
      </c>
      <c r="E51" s="107">
        <v>156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416.01</v>
      </c>
      <c r="E53" s="111">
        <v>257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161</v>
      </c>
      <c r="D55" s="89">
        <v>635.08000000000004</v>
      </c>
      <c r="E55" s="123">
        <v>293</v>
      </c>
      <c r="F55" s="91" t="s">
        <v>60</v>
      </c>
      <c r="G55" s="164">
        <f>3993889/4254000</f>
        <v>0.93885496003761171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7</v>
      </c>
      <c r="D57" s="96">
        <v>608.52</v>
      </c>
      <c r="E57" s="133">
        <v>197</v>
      </c>
      <c r="F57" s="91" t="s">
        <v>61</v>
      </c>
      <c r="G57" s="92">
        <f>C61/C55</f>
        <v>5.5900621118012424E-2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9</v>
      </c>
      <c r="D59" s="157">
        <v>679.77</v>
      </c>
      <c r="E59" s="133">
        <v>177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9</v>
      </c>
      <c r="D61" s="157">
        <v>552.74</v>
      </c>
      <c r="E61" s="142">
        <v>206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10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117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A5D75-3B7B-4DD3-83C0-0AFD5FE4CF47}">
  <sheetPr codeName="Sheet32"/>
  <dimension ref="A1:K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114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1233</v>
      </c>
      <c r="D5" s="89">
        <v>357.93</v>
      </c>
      <c r="E5" s="90">
        <v>152</v>
      </c>
      <c r="F5" s="91" t="s">
        <v>60</v>
      </c>
      <c r="G5" s="92">
        <f>851969/880527</f>
        <v>0.96756715012713979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299</v>
      </c>
      <c r="D7" s="96">
        <v>294.39999999999998</v>
      </c>
      <c r="E7" s="97">
        <v>97</v>
      </c>
      <c r="F7" s="91" t="s">
        <v>61</v>
      </c>
      <c r="G7" s="92">
        <f>C11/C5</f>
        <v>0.2643957826439578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277</v>
      </c>
      <c r="D9" s="106">
        <v>293.10000000000002</v>
      </c>
      <c r="E9" s="107">
        <v>81</v>
      </c>
      <c r="F9" s="91" t="s">
        <v>62</v>
      </c>
      <c r="G9" s="92">
        <f>C13/C5</f>
        <v>2.9197080291970802E-2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326</v>
      </c>
      <c r="D11" s="106">
        <v>270.68</v>
      </c>
      <c r="E11" s="107">
        <v>90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36</v>
      </c>
      <c r="D13" s="110">
        <v>460.42</v>
      </c>
      <c r="E13" s="111">
        <v>293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514</v>
      </c>
      <c r="D15" s="89">
        <v>261.39</v>
      </c>
      <c r="E15" s="90">
        <v>89</v>
      </c>
      <c r="F15" s="91" t="s">
        <v>60</v>
      </c>
      <c r="G15" s="92">
        <f>609868/623195</f>
        <v>0.97861504023620216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208</v>
      </c>
      <c r="D17" s="96">
        <v>259.32</v>
      </c>
      <c r="E17" s="97">
        <v>79</v>
      </c>
      <c r="F17" s="91" t="s">
        <v>61</v>
      </c>
      <c r="G17" s="92">
        <f>C21/C15</f>
        <v>0.51167315175097272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198</v>
      </c>
      <c r="D19" s="106">
        <v>251.56</v>
      </c>
      <c r="E19" s="107">
        <v>63</v>
      </c>
      <c r="F19" s="91" t="s">
        <v>62</v>
      </c>
      <c r="G19" s="92">
        <f>C23/C15</f>
        <v>2.7237354085603113E-2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263</v>
      </c>
      <c r="D21" s="106">
        <v>245.29</v>
      </c>
      <c r="E21" s="107">
        <v>70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14</v>
      </c>
      <c r="D23" s="110">
        <v>254.39</v>
      </c>
      <c r="E23" s="111">
        <v>147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252</v>
      </c>
      <c r="D25" s="89">
        <v>306.20999999999998</v>
      </c>
      <c r="E25" s="123">
        <v>148</v>
      </c>
      <c r="F25" s="91" t="s">
        <v>60</v>
      </c>
      <c r="G25" s="92">
        <f>1139519/1233140</f>
        <v>0.92407917997956435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48</v>
      </c>
      <c r="D27" s="96">
        <v>320.52999999999997</v>
      </c>
      <c r="E27" s="97">
        <v>107</v>
      </c>
      <c r="F27" s="91" t="s">
        <v>61</v>
      </c>
      <c r="G27" s="92">
        <f>C31/C25</f>
        <v>0.10317460317460317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32</v>
      </c>
      <c r="D29" s="106">
        <v>325.88</v>
      </c>
      <c r="E29" s="107">
        <v>97</v>
      </c>
      <c r="F29" s="91" t="s">
        <v>62</v>
      </c>
      <c r="G29" s="92">
        <f>C33/C25</f>
        <v>3.1746031746031744E-2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26</v>
      </c>
      <c r="D31" s="106">
        <v>284.57</v>
      </c>
      <c r="E31" s="107">
        <v>184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8</v>
      </c>
      <c r="D33" s="126">
        <v>335.03</v>
      </c>
      <c r="E33" s="111">
        <v>306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155</v>
      </c>
      <c r="D35" s="89">
        <v>372.28</v>
      </c>
      <c r="E35" s="123">
        <v>177</v>
      </c>
      <c r="F35" s="91" t="s">
        <v>60</v>
      </c>
      <c r="G35" s="92">
        <f>1679209/1718143</f>
        <v>0.97733948804028536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27</v>
      </c>
      <c r="D37" s="96">
        <v>373.9</v>
      </c>
      <c r="E37" s="133">
        <v>145</v>
      </c>
      <c r="F37" s="91" t="s">
        <v>61</v>
      </c>
      <c r="G37" s="92">
        <f>C41/C35</f>
        <v>9.0322580645161285E-2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22</v>
      </c>
      <c r="D39" s="106">
        <v>400.29</v>
      </c>
      <c r="E39" s="107">
        <v>154</v>
      </c>
      <c r="F39" s="91" t="s">
        <v>62</v>
      </c>
      <c r="G39" s="92">
        <f>C43/C35</f>
        <v>3.2258064516129031E-2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14</v>
      </c>
      <c r="D41" s="106">
        <v>370.32</v>
      </c>
      <c r="E41" s="107">
        <v>187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5</v>
      </c>
      <c r="D43" s="126">
        <v>329.12</v>
      </c>
      <c r="E43" s="111">
        <v>509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153</v>
      </c>
      <c r="D45" s="89">
        <v>449.83</v>
      </c>
      <c r="E45" s="123">
        <v>210</v>
      </c>
      <c r="F45" s="91" t="s">
        <v>60</v>
      </c>
      <c r="G45" s="92">
        <f>2252500/2350642</f>
        <v>0.95824885286657857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8</v>
      </c>
      <c r="D47" s="96">
        <v>435.23</v>
      </c>
      <c r="E47" s="133">
        <v>338</v>
      </c>
      <c r="F47" s="91" t="s">
        <v>61</v>
      </c>
      <c r="G47" s="92">
        <f>C51/C45</f>
        <v>9.1503267973856203E-2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20</v>
      </c>
      <c r="D49" s="106">
        <v>467.87</v>
      </c>
      <c r="E49" s="107">
        <v>113</v>
      </c>
      <c r="F49" s="91" t="s">
        <v>62</v>
      </c>
      <c r="G49" s="92">
        <f>C53/C45</f>
        <v>3.2679738562091505E-2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14</v>
      </c>
      <c r="D51" s="106">
        <v>420.49</v>
      </c>
      <c r="E51" s="107">
        <v>150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476.62</v>
      </c>
      <c r="E53" s="111">
        <v>328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159</v>
      </c>
      <c r="D55" s="89">
        <v>649.57000000000005</v>
      </c>
      <c r="E55" s="123">
        <v>286</v>
      </c>
      <c r="F55" s="91" t="s">
        <v>60</v>
      </c>
      <c r="G55" s="164">
        <f>3630556/3791889</f>
        <v>0.95745313219875372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8</v>
      </c>
      <c r="D57" s="96">
        <v>640.76</v>
      </c>
      <c r="E57" s="133">
        <v>105</v>
      </c>
      <c r="F57" s="91" t="s">
        <v>61</v>
      </c>
      <c r="G57" s="92">
        <f>C61/C55</f>
        <v>5.6603773584905662E-2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5</v>
      </c>
      <c r="D59" s="157">
        <v>557.46</v>
      </c>
      <c r="E59" s="133">
        <v>231</v>
      </c>
      <c r="F59" s="91" t="s">
        <v>62</v>
      </c>
      <c r="G59" s="92">
        <f>C63/C55</f>
        <v>2.5157232704402517E-2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9</v>
      </c>
      <c r="D61" s="157">
        <v>584.66999999999996</v>
      </c>
      <c r="E61" s="142">
        <v>162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837.3</v>
      </c>
      <c r="E63" s="111">
        <v>462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115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00DF-5FAC-4D76-9661-CA362239D501}">
  <sheetPr codeName="Sheet33"/>
  <dimension ref="A1:K65"/>
  <sheetViews>
    <sheetView view="pageBreakPreview" topLeftCell="A7" zoomScaleNormal="100" zoomScaleSheetLayoutView="100" workbookViewId="0">
      <selection activeCell="J29" sqref="J2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112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1259</v>
      </c>
      <c r="D5" s="89">
        <v>352.19</v>
      </c>
      <c r="E5" s="90">
        <v>158</v>
      </c>
      <c r="F5" s="91" t="s">
        <v>60</v>
      </c>
      <c r="G5" s="92">
        <f>824681/855645</f>
        <v>0.96381209496929221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183</v>
      </c>
      <c r="D7" s="96">
        <v>288.5</v>
      </c>
      <c r="E7" s="97">
        <v>98</v>
      </c>
      <c r="F7" s="91" t="s">
        <v>61</v>
      </c>
      <c r="G7" s="92">
        <f>C11/C5</f>
        <v>0.36854646544876885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218</v>
      </c>
      <c r="D9" s="106">
        <v>288.10000000000002</v>
      </c>
      <c r="E9" s="107">
        <v>92</v>
      </c>
      <c r="F9" s="91" t="s">
        <v>62</v>
      </c>
      <c r="G9" s="92">
        <f>C13/C5</f>
        <v>4.2096902303415409E-2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464</v>
      </c>
      <c r="D11" s="106">
        <v>263.10000000000002</v>
      </c>
      <c r="E11" s="107">
        <v>96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53</v>
      </c>
      <c r="D13" s="110">
        <v>299.88</v>
      </c>
      <c r="E13" s="111">
        <v>208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548</v>
      </c>
      <c r="D15" s="89">
        <v>256.88</v>
      </c>
      <c r="E15" s="90">
        <v>97</v>
      </c>
      <c r="F15" s="91" t="s">
        <v>60</v>
      </c>
      <c r="G15" s="92">
        <f>576817/591040</f>
        <v>0.97593563887384949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134</v>
      </c>
      <c r="D17" s="96">
        <v>252.17</v>
      </c>
      <c r="E17" s="97">
        <v>78</v>
      </c>
      <c r="F17" s="91" t="s">
        <v>61</v>
      </c>
      <c r="G17" s="92">
        <f>C21/C15</f>
        <v>0.66423357664233573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153</v>
      </c>
      <c r="D19" s="106">
        <v>246.28</v>
      </c>
      <c r="E19" s="107">
        <v>72</v>
      </c>
      <c r="F19" s="91" t="s">
        <v>62</v>
      </c>
      <c r="G19" s="92">
        <f>C23/C15</f>
        <v>6.0218978102189784E-2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364</v>
      </c>
      <c r="D21" s="106">
        <v>240.9</v>
      </c>
      <c r="E21" s="107">
        <v>75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33</v>
      </c>
      <c r="D23" s="110">
        <v>257.02</v>
      </c>
      <c r="E23" s="111">
        <v>107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232</v>
      </c>
      <c r="D25" s="89">
        <v>308.89999999999998</v>
      </c>
      <c r="E25" s="123">
        <v>170</v>
      </c>
      <c r="F25" s="91" t="s">
        <v>60</v>
      </c>
      <c r="G25" s="92">
        <f>1203819/1258290</f>
        <v>0.95671029730825163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21</v>
      </c>
      <c r="D27" s="96">
        <v>307.67</v>
      </c>
      <c r="E27" s="97">
        <v>147</v>
      </c>
      <c r="F27" s="91" t="s">
        <v>61</v>
      </c>
      <c r="G27" s="92">
        <f>C31/C25</f>
        <v>0.25431034482758619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29</v>
      </c>
      <c r="D29" s="106">
        <v>307.92</v>
      </c>
      <c r="E29" s="107">
        <v>124</v>
      </c>
      <c r="F29" s="91" t="s">
        <v>62</v>
      </c>
      <c r="G29" s="92">
        <f>C33/C25</f>
        <v>3.017241379310345E-2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59</v>
      </c>
      <c r="D31" s="106">
        <v>292.75</v>
      </c>
      <c r="E31" s="107">
        <v>125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7</v>
      </c>
      <c r="D33" s="126">
        <v>313.39</v>
      </c>
      <c r="E33" s="111">
        <v>236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166</v>
      </c>
      <c r="D35" s="89">
        <v>363.69</v>
      </c>
      <c r="E35" s="123">
        <v>179</v>
      </c>
      <c r="F35" s="91" t="s">
        <v>60</v>
      </c>
      <c r="G35" s="92">
        <f>1626189/1709660</f>
        <v>0.95117684217914678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13</v>
      </c>
      <c r="D37" s="96">
        <v>392.59</v>
      </c>
      <c r="E37" s="133">
        <v>146</v>
      </c>
      <c r="F37" s="91" t="s">
        <v>61</v>
      </c>
      <c r="G37" s="92">
        <f>C41/C35</f>
        <v>0.13253012048192772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17</v>
      </c>
      <c r="D39" s="106">
        <v>413.72</v>
      </c>
      <c r="E39" s="107">
        <v>188</v>
      </c>
      <c r="F39" s="91" t="s">
        <v>62</v>
      </c>
      <c r="G39" s="92">
        <f>C43/C35</f>
        <v>4.2168674698795178E-2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22</v>
      </c>
      <c r="D41" s="106">
        <v>329.16</v>
      </c>
      <c r="E41" s="107">
        <v>255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7</v>
      </c>
      <c r="D43" s="126">
        <v>349.66</v>
      </c>
      <c r="E43" s="111">
        <v>436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163</v>
      </c>
      <c r="D45" s="89">
        <v>455.87</v>
      </c>
      <c r="E45" s="123">
        <v>210</v>
      </c>
      <c r="F45" s="91" t="s">
        <v>60</v>
      </c>
      <c r="G45" s="92">
        <f>2396400/2512900</f>
        <v>0.95363922161645909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7</v>
      </c>
      <c r="D47" s="96">
        <v>400.33</v>
      </c>
      <c r="E47" s="133">
        <v>81</v>
      </c>
      <c r="F47" s="91" t="s">
        <v>61</v>
      </c>
      <c r="G47" s="92">
        <f>C51/C45</f>
        <v>6.1349693251533742E-2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13</v>
      </c>
      <c r="D49" s="106">
        <v>431.17</v>
      </c>
      <c r="E49" s="107">
        <v>112</v>
      </c>
      <c r="F49" s="91" t="s">
        <v>62</v>
      </c>
      <c r="G49" s="92">
        <f>C53/C45</f>
        <v>2.4539877300613498E-2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10</v>
      </c>
      <c r="D51" s="106">
        <v>447.29</v>
      </c>
      <c r="E51" s="107">
        <v>199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372.17</v>
      </c>
      <c r="E53" s="111">
        <v>552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150</v>
      </c>
      <c r="D55" s="89">
        <v>641.95000000000005</v>
      </c>
      <c r="E55" s="123">
        <v>288</v>
      </c>
      <c r="F55" s="91" t="s">
        <v>60</v>
      </c>
      <c r="G55" s="164">
        <f>4658333/4988889</f>
        <v>0.93374156049573365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8</v>
      </c>
      <c r="D57" s="96">
        <v>579.76</v>
      </c>
      <c r="E57" s="133">
        <v>248</v>
      </c>
      <c r="F57" s="91" t="s">
        <v>61</v>
      </c>
      <c r="G57" s="92">
        <f>C61/C55</f>
        <v>0.06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6</v>
      </c>
      <c r="D59" s="157">
        <v>593.07000000000005</v>
      </c>
      <c r="E59" s="133">
        <v>127</v>
      </c>
      <c r="F59" s="91" t="s">
        <v>62</v>
      </c>
      <c r="G59" s="92">
        <f>C63/C55</f>
        <v>1.3333333333333334E-2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9</v>
      </c>
      <c r="D61" s="157">
        <v>597</v>
      </c>
      <c r="E61" s="142">
        <v>238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640.99</v>
      </c>
      <c r="E63" s="111">
        <v>291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113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878BB-391E-4113-9457-0E64BB2DAA74}">
  <sheetPr codeName="Sheet34"/>
  <dimension ref="A1:K65"/>
  <sheetViews>
    <sheetView view="pageBreakPreview" zoomScaleNormal="100" zoomScaleSheetLayoutView="100" workbookViewId="0">
      <selection activeCell="G45" sqref="G45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110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1372</v>
      </c>
      <c r="D5" s="89">
        <v>348.52</v>
      </c>
      <c r="E5" s="90">
        <v>144</v>
      </c>
      <c r="F5" s="91" t="s">
        <v>60</v>
      </c>
      <c r="G5" s="92">
        <f>864729/897220</f>
        <v>0.96378703105147012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251</v>
      </c>
      <c r="D7" s="96">
        <v>276.08999999999997</v>
      </c>
      <c r="E7" s="97">
        <v>112</v>
      </c>
      <c r="F7" s="91" t="s">
        <v>61</v>
      </c>
      <c r="G7" s="92">
        <f>C11/C5</f>
        <v>0.26967930029154519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307</v>
      </c>
      <c r="D9" s="106">
        <v>279.83</v>
      </c>
      <c r="E9" s="107">
        <v>75</v>
      </c>
      <c r="F9" s="91" t="s">
        <v>62</v>
      </c>
      <c r="G9" s="92">
        <f>C13/C5</f>
        <v>1.5306122448979591E-2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370</v>
      </c>
      <c r="D11" s="106">
        <v>269.69</v>
      </c>
      <c r="E11" s="107">
        <v>94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21</v>
      </c>
      <c r="D13" s="110">
        <v>325.02999999999997</v>
      </c>
      <c r="E13" s="111">
        <v>1499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623</v>
      </c>
      <c r="D15" s="89">
        <v>253.09</v>
      </c>
      <c r="E15" s="90">
        <v>87</v>
      </c>
      <c r="F15" s="91" t="s">
        <v>60</v>
      </c>
      <c r="G15" s="92">
        <f>574414/587780</f>
        <v>0.97726019939433117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181</v>
      </c>
      <c r="D17" s="96">
        <v>248.02</v>
      </c>
      <c r="E17" s="97">
        <v>79</v>
      </c>
      <c r="F17" s="91" t="s">
        <v>61</v>
      </c>
      <c r="G17" s="92">
        <f>C21/C15</f>
        <v>0.449438202247191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235</v>
      </c>
      <c r="D19" s="106">
        <v>244.28</v>
      </c>
      <c r="E19" s="107">
        <v>65</v>
      </c>
      <c r="F19" s="91" t="s">
        <v>62</v>
      </c>
      <c r="G19" s="92">
        <f>C23/C15</f>
        <v>2.0866773675762441E-2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280</v>
      </c>
      <c r="D21" s="106">
        <v>244.19</v>
      </c>
      <c r="E21" s="107">
        <v>73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13</v>
      </c>
      <c r="D23" s="110">
        <v>243.19</v>
      </c>
      <c r="E23" s="111">
        <v>161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248</v>
      </c>
      <c r="D25" s="89">
        <v>307.38</v>
      </c>
      <c r="E25" s="123">
        <v>149</v>
      </c>
      <c r="F25" s="91" t="s">
        <v>60</v>
      </c>
      <c r="G25" s="92">
        <f>1226630/1273178</f>
        <v>0.96343951906174941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39</v>
      </c>
      <c r="D27" s="96">
        <v>301.01</v>
      </c>
      <c r="E27" s="97">
        <v>167</v>
      </c>
      <c r="F27" s="91" t="s">
        <v>61</v>
      </c>
      <c r="G27" s="92">
        <f>C31/C25</f>
        <v>0.18548387096774194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37</v>
      </c>
      <c r="D29" s="106">
        <v>323.3</v>
      </c>
      <c r="E29" s="107">
        <v>74</v>
      </c>
      <c r="F29" s="91" t="s">
        <v>62</v>
      </c>
      <c r="G29" s="92">
        <f>C33/C25</f>
        <v>1.6129032258064516E-2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46</v>
      </c>
      <c r="D31" s="106">
        <v>298.29000000000002</v>
      </c>
      <c r="E31" s="107">
        <v>138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277.43</v>
      </c>
      <c r="E33" s="111">
        <v>212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182</v>
      </c>
      <c r="D35" s="89">
        <v>375.87</v>
      </c>
      <c r="E35" s="123">
        <v>179</v>
      </c>
      <c r="F35" s="91" t="s">
        <v>60</v>
      </c>
      <c r="G35" s="92">
        <f>1637895/1730889</f>
        <v>0.94627385118283147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19</v>
      </c>
      <c r="D37" s="96">
        <v>352.94</v>
      </c>
      <c r="E37" s="133">
        <v>238</v>
      </c>
      <c r="F37" s="91" t="s">
        <v>61</v>
      </c>
      <c r="G37" s="92">
        <f>C41/C35</f>
        <v>0.1043956043956044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14</v>
      </c>
      <c r="D39" s="106">
        <v>369.06</v>
      </c>
      <c r="E39" s="107">
        <v>169</v>
      </c>
      <c r="F39" s="91" t="s">
        <v>62</v>
      </c>
      <c r="G39" s="92">
        <f>C43/C35</f>
        <v>5.4945054945054949E-3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19</v>
      </c>
      <c r="D41" s="106">
        <v>327.12</v>
      </c>
      <c r="E41" s="107">
        <v>140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26">
        <v>358.3</v>
      </c>
      <c r="E43" s="111">
        <v>118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169</v>
      </c>
      <c r="D45" s="89">
        <v>457.3</v>
      </c>
      <c r="E45" s="123">
        <v>190</v>
      </c>
      <c r="F45" s="91" t="s">
        <v>60</v>
      </c>
      <c r="G45" s="92">
        <f>2263947/2416579</f>
        <v>0.93683963983796925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8</v>
      </c>
      <c r="D47" s="96">
        <v>451.53</v>
      </c>
      <c r="E47" s="133">
        <v>203</v>
      </c>
      <c r="F47" s="91" t="s">
        <v>61</v>
      </c>
      <c r="G47" s="92">
        <f>C51/C45</f>
        <v>0.11242603550295859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13</v>
      </c>
      <c r="D49" s="106">
        <v>473.17</v>
      </c>
      <c r="E49" s="107">
        <v>98</v>
      </c>
      <c r="F49" s="91" t="s">
        <v>62</v>
      </c>
      <c r="G49" s="92">
        <f>C53/C45</f>
        <v>5.9171597633136093E-3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19</v>
      </c>
      <c r="D51" s="106">
        <v>399.17</v>
      </c>
      <c r="E51" s="107">
        <v>200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454.96</v>
      </c>
      <c r="E53" s="111">
        <v>176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150</v>
      </c>
      <c r="D55" s="89">
        <v>657.11</v>
      </c>
      <c r="E55" s="123">
        <v>283</v>
      </c>
      <c r="F55" s="91" t="s">
        <v>60</v>
      </c>
      <c r="G55" s="164">
        <f>4759000/5004166</f>
        <v>0.95100762045064058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4</v>
      </c>
      <c r="D57" s="96">
        <v>587.09</v>
      </c>
      <c r="E57" s="133">
        <v>264</v>
      </c>
      <c r="F57" s="91" t="s">
        <v>61</v>
      </c>
      <c r="G57" s="92">
        <f>C61/C55</f>
        <v>0.04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8</v>
      </c>
      <c r="D59" s="157">
        <v>652.91999999999996</v>
      </c>
      <c r="E59" s="133">
        <v>163</v>
      </c>
      <c r="F59" s="91" t="s">
        <v>62</v>
      </c>
      <c r="G59" s="92">
        <f>C63/C55</f>
        <v>1.3333333333333334E-2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6</v>
      </c>
      <c r="D61" s="157">
        <v>648.66999999999996</v>
      </c>
      <c r="E61" s="142">
        <v>218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893.48</v>
      </c>
      <c r="E63" s="111">
        <v>349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111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B69A-E2F2-4620-8F79-CFDB80EA3526}">
  <sheetPr codeName="Sheet35"/>
  <dimension ref="A1:K65"/>
  <sheetViews>
    <sheetView view="pageBreakPreview" zoomScaleNormal="100" zoomScaleSheetLayoutView="100" workbookViewId="0">
      <selection activeCell="K41" sqref="K4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109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1376</v>
      </c>
      <c r="D5" s="89">
        <v>341.69</v>
      </c>
      <c r="E5" s="90">
        <v>144</v>
      </c>
      <c r="F5" s="91" t="s">
        <v>60</v>
      </c>
      <c r="G5" s="92">
        <f>754360/783669</f>
        <v>0.96260028149639709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246</v>
      </c>
      <c r="D7" s="96">
        <v>281.62</v>
      </c>
      <c r="E7" s="97">
        <v>96</v>
      </c>
      <c r="F7" s="91" t="s">
        <v>61</v>
      </c>
      <c r="G7" s="92">
        <f>C11/C5</f>
        <v>0.31468023255813954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269</v>
      </c>
      <c r="D9" s="106">
        <v>274.10000000000002</v>
      </c>
      <c r="E9" s="107">
        <v>76</v>
      </c>
      <c r="F9" s="91" t="s">
        <v>62</v>
      </c>
      <c r="G9" s="92">
        <f>C13/C5</f>
        <v>1.8168604651162792E-2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433</v>
      </c>
      <c r="D11" s="106">
        <v>254.97</v>
      </c>
      <c r="E11" s="107">
        <v>96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25</v>
      </c>
      <c r="D13" s="110">
        <v>261.26</v>
      </c>
      <c r="E13" s="111">
        <v>160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652</v>
      </c>
      <c r="D15" s="89">
        <v>248.03</v>
      </c>
      <c r="E15" s="90">
        <v>87</v>
      </c>
      <c r="F15" s="91" t="s">
        <v>60</v>
      </c>
      <c r="G15" s="92">
        <f>568709/584046</f>
        <v>0.97374008211681962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173</v>
      </c>
      <c r="D17" s="96">
        <v>249.07</v>
      </c>
      <c r="E17" s="97">
        <v>74</v>
      </c>
      <c r="F17" s="91" t="s">
        <v>61</v>
      </c>
      <c r="G17" s="92">
        <f>C21/C15</f>
        <v>0.55674846625766872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213</v>
      </c>
      <c r="D19" s="106">
        <v>246.78</v>
      </c>
      <c r="E19" s="107">
        <v>61</v>
      </c>
      <c r="F19" s="91" t="s">
        <v>62</v>
      </c>
      <c r="G19" s="92">
        <f>C23/C15</f>
        <v>2.3006134969325152E-2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363</v>
      </c>
      <c r="D21" s="106">
        <v>240.91</v>
      </c>
      <c r="E21" s="107">
        <v>76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15</v>
      </c>
      <c r="D23" s="110">
        <v>230.17</v>
      </c>
      <c r="E23" s="111">
        <v>122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250</v>
      </c>
      <c r="D25" s="89">
        <v>308.19</v>
      </c>
      <c r="E25" s="123">
        <v>143</v>
      </c>
      <c r="F25" s="91" t="s">
        <v>60</v>
      </c>
      <c r="G25" s="92">
        <f>1150065/1200980</f>
        <v>0.9576054555446385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43</v>
      </c>
      <c r="D27" s="96">
        <v>310.72000000000003</v>
      </c>
      <c r="E27" s="97">
        <v>120</v>
      </c>
      <c r="F27" s="91" t="s">
        <v>61</v>
      </c>
      <c r="G27" s="92">
        <f>C31/C25</f>
        <v>0.13200000000000001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24</v>
      </c>
      <c r="D29" s="106">
        <v>300.66000000000003</v>
      </c>
      <c r="E29" s="107">
        <v>98</v>
      </c>
      <c r="F29" s="91" t="s">
        <v>62</v>
      </c>
      <c r="G29" s="92">
        <f>C33/C25</f>
        <v>0.02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33</v>
      </c>
      <c r="D31" s="106">
        <v>273.62</v>
      </c>
      <c r="E31" s="107">
        <v>146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5</v>
      </c>
      <c r="D33" s="126">
        <v>277.04000000000002</v>
      </c>
      <c r="E33" s="111">
        <v>232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171</v>
      </c>
      <c r="D35" s="89">
        <v>373.34</v>
      </c>
      <c r="E35" s="123">
        <v>191</v>
      </c>
      <c r="F35" s="91" t="s">
        <v>60</v>
      </c>
      <c r="G35" s="92">
        <f>1625361/1697986</f>
        <v>0.95722874040186434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15</v>
      </c>
      <c r="D37" s="96">
        <v>345.44</v>
      </c>
      <c r="E37" s="133">
        <v>152</v>
      </c>
      <c r="F37" s="91" t="s">
        <v>61</v>
      </c>
      <c r="G37" s="92">
        <f>C41/C35</f>
        <v>8.1871345029239762E-2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15</v>
      </c>
      <c r="D39" s="106">
        <v>359.46</v>
      </c>
      <c r="E39" s="107">
        <v>167</v>
      </c>
      <c r="F39" s="91" t="s">
        <v>62</v>
      </c>
      <c r="G39" s="92">
        <f>C43/C35</f>
        <v>2.9239766081871343E-2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14</v>
      </c>
      <c r="D41" s="106">
        <v>307.36</v>
      </c>
      <c r="E41" s="107">
        <v>268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5</v>
      </c>
      <c r="D43" s="126">
        <v>338.76</v>
      </c>
      <c r="E43" s="111">
        <v>205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160</v>
      </c>
      <c r="D45" s="89">
        <v>458.49</v>
      </c>
      <c r="E45" s="123">
        <v>192</v>
      </c>
      <c r="F45" s="91" t="s">
        <v>60</v>
      </c>
      <c r="G45" s="92">
        <f>2277471/2438000</f>
        <v>0.93415545529122235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11</v>
      </c>
      <c r="D47" s="96">
        <v>449.81</v>
      </c>
      <c r="E47" s="133">
        <v>247</v>
      </c>
      <c r="F47" s="91" t="s">
        <v>61</v>
      </c>
      <c r="G47" s="92">
        <f>C51/C45</f>
        <v>0.10625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11</v>
      </c>
      <c r="D49" s="106">
        <v>421.22</v>
      </c>
      <c r="E49" s="107">
        <v>158</v>
      </c>
      <c r="F49" s="91" t="s">
        <v>62</v>
      </c>
      <c r="G49" s="92">
        <f>C53/C45</f>
        <v>0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17</v>
      </c>
      <c r="D51" s="106">
        <v>385.67</v>
      </c>
      <c r="E51" s="107">
        <v>184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143</v>
      </c>
      <c r="D55" s="89">
        <v>658.77</v>
      </c>
      <c r="E55" s="123">
        <v>300</v>
      </c>
      <c r="F55" s="91" t="s">
        <v>60</v>
      </c>
      <c r="G55" s="164">
        <f>3462087/3745000</f>
        <v>0.92445580774365821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4</v>
      </c>
      <c r="D57" s="96">
        <v>674.39</v>
      </c>
      <c r="E57" s="133">
        <v>122</v>
      </c>
      <c r="F57" s="91" t="s">
        <v>61</v>
      </c>
      <c r="G57" s="92">
        <f>C61/C55</f>
        <v>4.195804195804196E-2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6</v>
      </c>
      <c r="D59" s="157">
        <v>650.5</v>
      </c>
      <c r="E59" s="133">
        <v>145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6</v>
      </c>
      <c r="D61" s="157">
        <v>509.88</v>
      </c>
      <c r="E61" s="142">
        <v>401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11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108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C466-054C-4485-B907-451E477588FC}">
  <sheetPr codeName="Sheet36"/>
  <dimension ref="A1:K65"/>
  <sheetViews>
    <sheetView view="pageBreakPreview" topLeftCell="A25" zoomScaleNormal="100" zoomScaleSheetLayoutView="100" workbookViewId="0">
      <selection activeCell="I63" sqref="I6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107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1261</v>
      </c>
      <c r="D5" s="89">
        <v>339.3</v>
      </c>
      <c r="E5" s="90">
        <v>157</v>
      </c>
      <c r="F5" s="91" t="s">
        <v>60</v>
      </c>
      <c r="G5" s="92">
        <f>683694/703956</f>
        <v>0.97121695105944117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221</v>
      </c>
      <c r="D7" s="96">
        <v>266.02999999999997</v>
      </c>
      <c r="E7" s="97">
        <v>100</v>
      </c>
      <c r="F7" s="91" t="s">
        <v>61</v>
      </c>
      <c r="G7" s="92">
        <f>C11/C5</f>
        <v>0.33544805709754161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263</v>
      </c>
      <c r="D9" s="106">
        <v>275.35000000000002</v>
      </c>
      <c r="E9" s="107">
        <v>91</v>
      </c>
      <c r="F9" s="91" t="s">
        <v>62</v>
      </c>
      <c r="G9" s="92">
        <f>C13/C5</f>
        <v>2.2204599524187154E-2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423</v>
      </c>
      <c r="D11" s="106">
        <v>249.89</v>
      </c>
      <c r="E11" s="107">
        <v>93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28</v>
      </c>
      <c r="D13" s="110">
        <v>317.72000000000003</v>
      </c>
      <c r="E13" s="111">
        <v>211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618</v>
      </c>
      <c r="D15" s="89">
        <v>252.09</v>
      </c>
      <c r="E15" s="90">
        <v>92</v>
      </c>
      <c r="F15" s="91" t="s">
        <v>60</v>
      </c>
      <c r="G15" s="92">
        <f>580787/593528</f>
        <v>0.97853344745319515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172</v>
      </c>
      <c r="D17" s="96">
        <v>247.77</v>
      </c>
      <c r="E17" s="97">
        <v>81</v>
      </c>
      <c r="F17" s="91" t="s">
        <v>61</v>
      </c>
      <c r="G17" s="92">
        <f>C21/C15</f>
        <v>0.60194174757281549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206</v>
      </c>
      <c r="D19" s="106">
        <v>244.92</v>
      </c>
      <c r="E19" s="107">
        <v>64</v>
      </c>
      <c r="F19" s="91" t="s">
        <v>62</v>
      </c>
      <c r="G19" s="92">
        <f>C23/C15</f>
        <v>2.7508090614886731E-2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372</v>
      </c>
      <c r="D21" s="106">
        <v>240.47</v>
      </c>
      <c r="E21" s="107">
        <v>84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17</v>
      </c>
      <c r="D23" s="110">
        <v>254.43</v>
      </c>
      <c r="E23" s="111">
        <v>206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220</v>
      </c>
      <c r="D25" s="89">
        <v>308.08999999999997</v>
      </c>
      <c r="E25" s="123">
        <v>160</v>
      </c>
      <c r="F25" s="91" t="s">
        <v>60</v>
      </c>
      <c r="G25" s="92">
        <f>1189126/1245971</f>
        <v>0.95437694777807836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30</v>
      </c>
      <c r="D27" s="96">
        <v>286.77</v>
      </c>
      <c r="E27" s="97">
        <v>113</v>
      </c>
      <c r="F27" s="91" t="s">
        <v>61</v>
      </c>
      <c r="G27" s="92">
        <f>C31/C25</f>
        <v>0.15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25</v>
      </c>
      <c r="D29" s="106">
        <v>283.37</v>
      </c>
      <c r="E29" s="107">
        <v>137</v>
      </c>
      <c r="F29" s="91" t="s">
        <v>62</v>
      </c>
      <c r="G29" s="92">
        <f>C33/C25</f>
        <v>9.0909090909090905E-3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33</v>
      </c>
      <c r="D31" s="106">
        <v>281.47000000000003</v>
      </c>
      <c r="E31" s="107">
        <v>138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2</v>
      </c>
      <c r="D33" s="126">
        <v>285.83</v>
      </c>
      <c r="E33" s="111">
        <v>104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159</v>
      </c>
      <c r="D35" s="89">
        <v>365.63</v>
      </c>
      <c r="E35" s="123">
        <v>200</v>
      </c>
      <c r="F35" s="91" t="s">
        <v>60</v>
      </c>
      <c r="G35" s="92">
        <f>1574667/1658100</f>
        <v>0.94968156323502806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9</v>
      </c>
      <c r="D37" s="96">
        <v>329.31</v>
      </c>
      <c r="E37" s="133">
        <v>310</v>
      </c>
      <c r="F37" s="91" t="s">
        <v>61</v>
      </c>
      <c r="G37" s="92">
        <f>C41/C35</f>
        <v>5.6603773584905662E-2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12</v>
      </c>
      <c r="D39" s="106">
        <v>371.12</v>
      </c>
      <c r="E39" s="107">
        <v>234</v>
      </c>
      <c r="F39" s="91" t="s">
        <v>62</v>
      </c>
      <c r="G39" s="92">
        <f>C43/C35</f>
        <v>3.1446540880503145E-2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9</v>
      </c>
      <c r="D41" s="106">
        <v>350.2</v>
      </c>
      <c r="E41" s="107">
        <v>156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5</v>
      </c>
      <c r="D43" s="126">
        <v>330.93</v>
      </c>
      <c r="E43" s="111">
        <v>131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141</v>
      </c>
      <c r="D45" s="89">
        <v>451.83</v>
      </c>
      <c r="E45" s="123">
        <v>241</v>
      </c>
      <c r="F45" s="91" t="s">
        <v>60</v>
      </c>
      <c r="G45" s="92">
        <f>2192944/2323778</f>
        <v>0.94369771983382233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6</v>
      </c>
      <c r="D47" s="96">
        <v>385.65</v>
      </c>
      <c r="E47" s="133">
        <v>167</v>
      </c>
      <c r="F47" s="91" t="s">
        <v>61</v>
      </c>
      <c r="G47" s="92">
        <f>C51/C45</f>
        <v>6.3829787234042548E-2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13</v>
      </c>
      <c r="D49" s="106">
        <v>459.67</v>
      </c>
      <c r="E49" s="107">
        <v>166</v>
      </c>
      <c r="F49" s="91" t="s">
        <v>62</v>
      </c>
      <c r="G49" s="92">
        <f>C53/C45</f>
        <v>1.4184397163120567E-2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9</v>
      </c>
      <c r="D51" s="106">
        <v>423.15</v>
      </c>
      <c r="E51" s="107">
        <v>206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2</v>
      </c>
      <c r="D53" s="110">
        <v>611.69000000000005</v>
      </c>
      <c r="E53" s="111">
        <v>309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123</v>
      </c>
      <c r="D55" s="89">
        <v>670.27</v>
      </c>
      <c r="E55" s="123">
        <v>321</v>
      </c>
      <c r="F55" s="91" t="s">
        <v>60</v>
      </c>
      <c r="G55" s="164" t="s">
        <v>30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4</v>
      </c>
      <c r="D57" s="96">
        <v>573.74</v>
      </c>
      <c r="E57" s="133">
        <v>253</v>
      </c>
      <c r="F57" s="91" t="s">
        <v>61</v>
      </c>
      <c r="G57" s="92">
        <f>C61/C55</f>
        <v>0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7</v>
      </c>
      <c r="D59" s="157">
        <v>635.76</v>
      </c>
      <c r="E59" s="133">
        <v>316</v>
      </c>
      <c r="F59" s="91" t="s">
        <v>62</v>
      </c>
      <c r="G59" s="92">
        <f>C63/C55</f>
        <v>1.6260162601626018E-2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0</v>
      </c>
      <c r="D61" s="157" t="s">
        <v>30</v>
      </c>
      <c r="E61" s="142" t="s">
        <v>30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560.55999999999995</v>
      </c>
      <c r="E63" s="163">
        <v>463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106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C4ABB-DABE-46F4-A7BA-EDC0F383A1E3}">
  <sheetPr codeName="Sheet37"/>
  <dimension ref="A1:K65"/>
  <sheetViews>
    <sheetView view="pageBreakPreview" topLeftCell="A13" zoomScaleNormal="100" zoomScaleSheetLayoutView="100" workbookViewId="0">
      <selection activeCell="C68" sqref="C68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104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1240</v>
      </c>
      <c r="D5" s="89">
        <v>331.35</v>
      </c>
      <c r="E5" s="90">
        <v>157</v>
      </c>
      <c r="F5" s="91" t="s">
        <v>60</v>
      </c>
      <c r="G5" s="92">
        <f>699800/724201</f>
        <v>0.96630631551185375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243</v>
      </c>
      <c r="D7" s="96">
        <v>263.45999999999998</v>
      </c>
      <c r="E7" s="97">
        <v>129</v>
      </c>
      <c r="F7" s="91" t="s">
        <v>61</v>
      </c>
      <c r="G7" s="92">
        <f>C11/C5</f>
        <v>0.36209677419354841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271</v>
      </c>
      <c r="D9" s="106">
        <v>268.95999999999998</v>
      </c>
      <c r="E9" s="107">
        <v>96</v>
      </c>
      <c r="F9" s="91" t="s">
        <v>62</v>
      </c>
      <c r="G9" s="92">
        <f>C13/C5</f>
        <v>3.2258064516129031E-2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449</v>
      </c>
      <c r="D11" s="106">
        <v>250.53</v>
      </c>
      <c r="E11" s="107">
        <v>105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40</v>
      </c>
      <c r="D13" s="110">
        <v>280.06</v>
      </c>
      <c r="E13" s="111">
        <v>191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639</v>
      </c>
      <c r="D15" s="89">
        <v>247.96</v>
      </c>
      <c r="E15" s="90">
        <v>91</v>
      </c>
      <c r="F15" s="91" t="s">
        <v>60</v>
      </c>
      <c r="G15" s="92">
        <f>574547/588799</f>
        <v>0.97579479584713968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199</v>
      </c>
      <c r="D17" s="96">
        <v>245.05</v>
      </c>
      <c r="E17" s="97">
        <v>98</v>
      </c>
      <c r="F17" s="91" t="s">
        <v>61</v>
      </c>
      <c r="G17" s="92">
        <f>C21/C15</f>
        <v>0.61815336463223791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220</v>
      </c>
      <c r="D19" s="106">
        <v>242.2</v>
      </c>
      <c r="E19" s="107">
        <v>81</v>
      </c>
      <c r="F19" s="91" t="s">
        <v>62</v>
      </c>
      <c r="G19" s="92">
        <f>C23/C15</f>
        <v>4.6948356807511735E-2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395</v>
      </c>
      <c r="D21" s="106">
        <v>237.52</v>
      </c>
      <c r="E21" s="107">
        <v>87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30</v>
      </c>
      <c r="D23" s="110">
        <v>242.42</v>
      </c>
      <c r="E23" s="111">
        <v>164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212</v>
      </c>
      <c r="D25" s="89">
        <v>300.75</v>
      </c>
      <c r="E25" s="123">
        <v>170</v>
      </c>
      <c r="F25" s="91" t="s">
        <v>60</v>
      </c>
      <c r="G25" s="92">
        <f>1145470/1215964</f>
        <v>0.94202624419801906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23</v>
      </c>
      <c r="D27" s="96">
        <v>292.02</v>
      </c>
      <c r="E27" s="97">
        <v>208</v>
      </c>
      <c r="F27" s="91" t="s">
        <v>61</v>
      </c>
      <c r="G27" s="92">
        <f>C31/C25</f>
        <v>0.13207547169811321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21</v>
      </c>
      <c r="D29" s="106">
        <v>289.31</v>
      </c>
      <c r="E29" s="107">
        <v>103</v>
      </c>
      <c r="F29" s="91" t="s">
        <v>62</v>
      </c>
      <c r="G29" s="92">
        <f>C33/C25</f>
        <v>1.8867924528301886E-2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28</v>
      </c>
      <c r="D31" s="106">
        <v>284.72000000000003</v>
      </c>
      <c r="E31" s="107">
        <v>167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307.25</v>
      </c>
      <c r="E33" s="111">
        <v>233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148</v>
      </c>
      <c r="D35" s="89">
        <v>367.34</v>
      </c>
      <c r="E35" s="123">
        <v>207</v>
      </c>
      <c r="F35" s="91" t="s">
        <v>60</v>
      </c>
      <c r="G35" s="92">
        <f>1621653/1719462</f>
        <v>0.94311650969896399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11</v>
      </c>
      <c r="D37" s="96">
        <v>356.91</v>
      </c>
      <c r="E37" s="133">
        <v>299</v>
      </c>
      <c r="F37" s="91" t="s">
        <v>61</v>
      </c>
      <c r="G37" s="92">
        <f>C41/C35</f>
        <v>8.7837837837837843E-2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11</v>
      </c>
      <c r="D39" s="106">
        <v>373.28</v>
      </c>
      <c r="E39" s="107">
        <v>242</v>
      </c>
      <c r="F39" s="91" t="s">
        <v>62</v>
      </c>
      <c r="G39" s="92">
        <f>C43/C35</f>
        <v>1.3513513513513514E-2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13</v>
      </c>
      <c r="D41" s="106">
        <v>375.18</v>
      </c>
      <c r="E41" s="107">
        <v>300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2</v>
      </c>
      <c r="D43" s="126">
        <v>331.64</v>
      </c>
      <c r="E43" s="111">
        <v>360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128</v>
      </c>
      <c r="D45" s="89">
        <v>449.49</v>
      </c>
      <c r="E45" s="123">
        <v>245</v>
      </c>
      <c r="F45" s="91" t="s">
        <v>60</v>
      </c>
      <c r="G45" s="92">
        <f>2438390/2584409</f>
        <v>0.94350004198251902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7</v>
      </c>
      <c r="D47" s="96">
        <v>372.87</v>
      </c>
      <c r="E47" s="133">
        <v>360</v>
      </c>
      <c r="F47" s="91" t="s">
        <v>61</v>
      </c>
      <c r="G47" s="92">
        <f>C51/C45</f>
        <v>8.59375E-2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16</v>
      </c>
      <c r="D49" s="106">
        <v>460.61</v>
      </c>
      <c r="E49" s="107">
        <v>196</v>
      </c>
      <c r="F49" s="91" t="s">
        <v>62</v>
      </c>
      <c r="G49" s="92">
        <f>C53/C45</f>
        <v>7.8125E-3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11</v>
      </c>
      <c r="D51" s="106">
        <v>436.46</v>
      </c>
      <c r="E51" s="107">
        <v>320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</v>
      </c>
      <c r="D53" s="110">
        <v>317.58</v>
      </c>
      <c r="E53" s="111">
        <v>228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113</v>
      </c>
      <c r="D55" s="89">
        <v>679.34</v>
      </c>
      <c r="E55" s="123">
        <v>337</v>
      </c>
      <c r="F55" s="91" t="s">
        <v>60</v>
      </c>
      <c r="G55" s="92">
        <f>3643500/3881000</f>
        <v>0.93880443184746198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</v>
      </c>
      <c r="D57" s="96">
        <v>668.39</v>
      </c>
      <c r="E57" s="133">
        <v>383</v>
      </c>
      <c r="F57" s="91" t="s">
        <v>61</v>
      </c>
      <c r="G57" s="92">
        <f>C61/C55</f>
        <v>1.7699115044247787E-2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</v>
      </c>
      <c r="D59" s="157">
        <v>684.08</v>
      </c>
      <c r="E59" s="133">
        <v>63</v>
      </c>
      <c r="F59" s="91" t="s">
        <v>62</v>
      </c>
      <c r="G59" s="92">
        <f>C63/C55</f>
        <v>1.7699115044247787E-2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2</v>
      </c>
      <c r="D61" s="106">
        <v>507.81</v>
      </c>
      <c r="E61" s="142">
        <v>402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2</v>
      </c>
      <c r="D63" s="110">
        <v>694.11</v>
      </c>
      <c r="E63" s="163">
        <v>248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105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3070F-78D4-48A4-B1B3-78CE93433AB6}">
  <dimension ref="A1:M65"/>
  <sheetViews>
    <sheetView view="pageBreakPreview" topLeftCell="A7" zoomScaleNormal="100" zoomScaleSheetLayoutView="100" workbookViewId="0">
      <selection activeCell="A10" sqref="A10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222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1178</v>
      </c>
      <c r="D5" s="89">
        <v>581.58000000000004</v>
      </c>
      <c r="E5" s="90">
        <v>96</v>
      </c>
      <c r="F5" s="91" t="s">
        <v>60</v>
      </c>
      <c r="G5" s="92">
        <f>1397357/1445322</f>
        <v>0.96681362353856093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171</v>
      </c>
      <c r="D7" s="167">
        <v>497.33</v>
      </c>
      <c r="E7" s="97">
        <v>83</v>
      </c>
      <c r="F7" s="91" t="s">
        <v>61</v>
      </c>
      <c r="G7" s="92">
        <f>C11/C5</f>
        <v>0.2071307300509338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214</v>
      </c>
      <c r="D9" s="169">
        <v>511.34</v>
      </c>
      <c r="E9" s="107">
        <v>81</v>
      </c>
      <c r="F9" s="91" t="s">
        <v>62</v>
      </c>
      <c r="G9" s="92">
        <f>C13/C5</f>
        <v>1.6129032258064516E-2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244</v>
      </c>
      <c r="D11" s="169">
        <v>467.28</v>
      </c>
      <c r="E11" s="107">
        <v>73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19</v>
      </c>
      <c r="D13" s="170">
        <v>580.37</v>
      </c>
      <c r="E13" s="111">
        <v>147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309</v>
      </c>
      <c r="D15" s="89">
        <v>408.58</v>
      </c>
      <c r="E15" s="90">
        <v>77</v>
      </c>
      <c r="F15" s="91" t="s">
        <v>60</v>
      </c>
      <c r="G15" s="92">
        <f>741396/758843</f>
        <v>0.97700841939637051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66</v>
      </c>
      <c r="D17" s="96">
        <v>404.79</v>
      </c>
      <c r="E17" s="97">
        <v>53</v>
      </c>
      <c r="F17" s="91" t="s">
        <v>61</v>
      </c>
      <c r="G17" s="92">
        <f>C21/C15</f>
        <v>0.39482200647249188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93</v>
      </c>
      <c r="D19" s="106">
        <v>377.49</v>
      </c>
      <c r="E19" s="107">
        <v>84</v>
      </c>
      <c r="F19" s="91" t="s">
        <v>62</v>
      </c>
      <c r="G19" s="92">
        <f>C23/C15</f>
        <v>1.2944983818770227E-2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122</v>
      </c>
      <c r="D21" s="106">
        <v>382.18</v>
      </c>
      <c r="E21" s="107">
        <v>66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4</v>
      </c>
      <c r="D23" s="110">
        <v>390.97</v>
      </c>
      <c r="E23" s="111">
        <v>173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231</v>
      </c>
      <c r="D25" s="96">
        <v>449.65</v>
      </c>
      <c r="E25" s="90">
        <v>86</v>
      </c>
      <c r="F25" s="91" t="s">
        <v>60</v>
      </c>
      <c r="G25" s="92">
        <f>1197065/1246767</f>
        <v>0.9601352939242056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38</v>
      </c>
      <c r="D27" s="106">
        <v>453.74</v>
      </c>
      <c r="E27" s="97">
        <v>77</v>
      </c>
      <c r="F27" s="91" t="s">
        <v>61</v>
      </c>
      <c r="G27" s="92">
        <f>C31/C25</f>
        <v>0.20779220779220781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40</v>
      </c>
      <c r="D29" s="96">
        <v>454.74</v>
      </c>
      <c r="E29" s="107">
        <v>59</v>
      </c>
      <c r="F29" s="91" t="s">
        <v>62</v>
      </c>
      <c r="G29" s="92">
        <v>0.7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48</v>
      </c>
      <c r="D31" s="106">
        <v>449.09800000000001</v>
      </c>
      <c r="E31" s="107">
        <v>70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3</v>
      </c>
      <c r="D33" s="110">
        <v>593.1</v>
      </c>
      <c r="E33" s="111">
        <v>101</v>
      </c>
      <c r="F33" s="173"/>
      <c r="G33" s="113"/>
    </row>
    <row r="34" spans="1:13" ht="5.25" customHeight="1" thickBot="1" x14ac:dyDescent="0.4">
      <c r="A34" s="85"/>
      <c r="B34" s="127"/>
      <c r="C34" s="128"/>
      <c r="D34" s="114"/>
      <c r="E34" s="130"/>
      <c r="F34" s="175"/>
      <c r="G34" s="119"/>
    </row>
    <row r="35" spans="1:13" ht="15.5" x14ac:dyDescent="0.35">
      <c r="A35" s="122" t="s">
        <v>66</v>
      </c>
      <c r="B35" s="87" t="s">
        <v>28</v>
      </c>
      <c r="C35" s="88">
        <v>167</v>
      </c>
      <c r="D35" s="96">
        <v>514.85</v>
      </c>
      <c r="E35" s="90">
        <v>76</v>
      </c>
      <c r="F35" s="91" t="s">
        <v>60</v>
      </c>
      <c r="G35" s="92">
        <f>1685326/1723903</f>
        <v>0.97762229081334617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28</v>
      </c>
      <c r="D37" s="106">
        <v>506.56</v>
      </c>
      <c r="E37" s="97">
        <v>68</v>
      </c>
      <c r="F37" s="91" t="s">
        <v>61</v>
      </c>
      <c r="G37" s="92">
        <f>C41/C35</f>
        <v>0.18562874251497005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22</v>
      </c>
      <c r="D39" s="96">
        <v>544.45000000000005</v>
      </c>
      <c r="E39" s="107">
        <v>53</v>
      </c>
      <c r="F39" s="91" t="s">
        <v>62</v>
      </c>
      <c r="G39" s="92">
        <f>C43/C35</f>
        <v>2.3952095808383235E-2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31</v>
      </c>
      <c r="D41" s="106">
        <v>529.28</v>
      </c>
      <c r="E41" s="107">
        <v>75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444.6</v>
      </c>
      <c r="E43" s="111">
        <v>149</v>
      </c>
      <c r="F43" s="173"/>
      <c r="G43" s="113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75"/>
      <c r="G44" s="119"/>
    </row>
    <row r="45" spans="1:13" ht="15.5" x14ac:dyDescent="0.35">
      <c r="A45" s="122" t="s">
        <v>67</v>
      </c>
      <c r="B45" s="87" t="s">
        <v>28</v>
      </c>
      <c r="C45" s="88">
        <v>200</v>
      </c>
      <c r="D45" s="96">
        <v>627.85</v>
      </c>
      <c r="E45" s="90">
        <v>86</v>
      </c>
      <c r="F45" s="91" t="s">
        <v>60</v>
      </c>
      <c r="G45" s="92">
        <f>2331481/2422227</f>
        <v>0.96253612894249796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21</v>
      </c>
      <c r="D47" s="106">
        <v>620.29</v>
      </c>
      <c r="E47" s="97">
        <v>96</v>
      </c>
      <c r="F47" s="91" t="s">
        <v>61</v>
      </c>
      <c r="G47" s="92">
        <f>C51/C45</f>
        <v>0.11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36</v>
      </c>
      <c r="D49" s="96">
        <v>594.21</v>
      </c>
      <c r="E49" s="107">
        <v>100</v>
      </c>
      <c r="F49" s="91" t="s">
        <v>62</v>
      </c>
      <c r="G49" s="92">
        <f>C53/C45</f>
        <v>0.02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22</v>
      </c>
      <c r="D51" s="106">
        <v>598.97</v>
      </c>
      <c r="E51" s="107">
        <v>101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588.01</v>
      </c>
      <c r="E53" s="111">
        <v>130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271</v>
      </c>
      <c r="D55" s="89">
        <v>898.27</v>
      </c>
      <c r="E55" s="123">
        <v>145</v>
      </c>
      <c r="F55" s="91" t="s">
        <v>60</v>
      </c>
      <c r="G55" s="164">
        <f>4262285/4454612</f>
        <v>0.95682519599911287</v>
      </c>
      <c r="H55" s="49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18</v>
      </c>
      <c r="D57" s="96">
        <v>770.81</v>
      </c>
      <c r="E57" s="133">
        <v>209</v>
      </c>
      <c r="F57" s="91" t="s">
        <v>61</v>
      </c>
      <c r="G57" s="92">
        <f>C61/C55</f>
        <v>7.7490774907749083E-2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23</v>
      </c>
      <c r="D59" s="106">
        <v>989.64</v>
      </c>
      <c r="E59" s="107">
        <v>108</v>
      </c>
      <c r="F59" s="91" t="s">
        <v>62</v>
      </c>
      <c r="G59" s="92">
        <f>C63/C55</f>
        <v>1.4760147601476014E-2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21</v>
      </c>
      <c r="D61" s="106">
        <v>773.8</v>
      </c>
      <c r="E61" s="107">
        <v>88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888.35</v>
      </c>
      <c r="E63" s="111">
        <v>171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221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5EBA3-9753-43D7-BE4F-0B5C8E940348}">
  <sheetPr codeName="Sheet38"/>
  <dimension ref="A1:K65"/>
  <sheetViews>
    <sheetView view="pageBreakPreview" topLeftCell="A16" zoomScaleNormal="100" zoomScaleSheetLayoutView="100" workbookViewId="0">
      <selection activeCell="N43" sqref="N4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102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1300</v>
      </c>
      <c r="D5" s="89">
        <v>326.98</v>
      </c>
      <c r="E5" s="90">
        <v>160</v>
      </c>
      <c r="F5" s="91" t="s">
        <v>60</v>
      </c>
      <c r="G5" s="92">
        <f>766715/796180</f>
        <v>0.9629920369765631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259</v>
      </c>
      <c r="D7" s="96">
        <v>260.98</v>
      </c>
      <c r="E7" s="97">
        <v>122</v>
      </c>
      <c r="F7" s="91" t="s">
        <v>61</v>
      </c>
      <c r="G7" s="92">
        <f>C11/C5</f>
        <v>0.36538461538461536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271</v>
      </c>
      <c r="D9" s="106">
        <v>264.7</v>
      </c>
      <c r="E9" s="107">
        <v>85</v>
      </c>
      <c r="F9" s="91" t="s">
        <v>62</v>
      </c>
      <c r="G9" s="92">
        <f>C13/C5</f>
        <v>4.8461538461538459E-2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475</v>
      </c>
      <c r="D11" s="106">
        <v>257.38</v>
      </c>
      <c r="E11" s="107">
        <v>100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63</v>
      </c>
      <c r="D13" s="110">
        <v>262.05</v>
      </c>
      <c r="E13" s="111">
        <v>235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706</v>
      </c>
      <c r="D15" s="89">
        <v>246.88</v>
      </c>
      <c r="E15" s="90">
        <v>100</v>
      </c>
      <c r="F15" s="91" t="s">
        <v>60</v>
      </c>
      <c r="G15" s="92">
        <f>573873/588847</f>
        <v>0.97457064398731763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216</v>
      </c>
      <c r="D17" s="96">
        <v>240.04</v>
      </c>
      <c r="E17" s="97">
        <v>96</v>
      </c>
      <c r="F17" s="91" t="s">
        <v>61</v>
      </c>
      <c r="G17" s="92">
        <f>C21/C15</f>
        <v>0.55949008498583575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229</v>
      </c>
      <c r="D19" s="106">
        <v>242.66</v>
      </c>
      <c r="E19" s="107">
        <v>77</v>
      </c>
      <c r="F19" s="91" t="s">
        <v>62</v>
      </c>
      <c r="G19" s="92">
        <f>C23/C15</f>
        <v>5.5240793201133141E-2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395</v>
      </c>
      <c r="D21" s="106">
        <v>239.44</v>
      </c>
      <c r="E21" s="107">
        <v>87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39</v>
      </c>
      <c r="D23" s="110">
        <v>219.3</v>
      </c>
      <c r="E23" s="111">
        <v>167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198</v>
      </c>
      <c r="D25" s="89">
        <v>299.36</v>
      </c>
      <c r="E25" s="123">
        <v>179</v>
      </c>
      <c r="F25" s="91" t="s">
        <v>60</v>
      </c>
      <c r="G25" s="92">
        <f>1127428/1179527</f>
        <v>0.955830599893008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21</v>
      </c>
      <c r="D27" s="96">
        <v>315.06</v>
      </c>
      <c r="E27" s="97">
        <v>132</v>
      </c>
      <c r="F27" s="91" t="s">
        <v>61</v>
      </c>
      <c r="G27" s="92">
        <f>C31/C25</f>
        <v>0.18686868686868688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21</v>
      </c>
      <c r="D29" s="106">
        <v>287.44</v>
      </c>
      <c r="E29" s="107">
        <v>138</v>
      </c>
      <c r="F29" s="91" t="s">
        <v>62</v>
      </c>
      <c r="G29" s="92">
        <f>C33/C25</f>
        <v>5.5555555555555552E-2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37</v>
      </c>
      <c r="D31" s="106">
        <v>273.60000000000002</v>
      </c>
      <c r="E31" s="107">
        <v>130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11</v>
      </c>
      <c r="D33" s="126">
        <v>287.26</v>
      </c>
      <c r="E33" s="111">
        <v>306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155</v>
      </c>
      <c r="D35" s="89">
        <v>360.48</v>
      </c>
      <c r="E35" s="123">
        <v>220</v>
      </c>
      <c r="F35" s="91" t="s">
        <v>60</v>
      </c>
      <c r="G35" s="92">
        <f>1615924/1695021</f>
        <v>0.95333568138683833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10</v>
      </c>
      <c r="D37" s="96">
        <v>361.05</v>
      </c>
      <c r="E37" s="133">
        <v>232</v>
      </c>
      <c r="F37" s="91" t="s">
        <v>61</v>
      </c>
      <c r="G37" s="92">
        <f>C41/C35</f>
        <v>0.14838709677419354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6</v>
      </c>
      <c r="D39" s="106">
        <v>393.95</v>
      </c>
      <c r="E39" s="107">
        <v>164</v>
      </c>
      <c r="F39" s="91" t="s">
        <v>62</v>
      </c>
      <c r="G39" s="92">
        <f>C43/C35</f>
        <v>5.1612903225806452E-2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23</v>
      </c>
      <c r="D41" s="106">
        <v>338.22</v>
      </c>
      <c r="E41" s="107">
        <v>170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8</v>
      </c>
      <c r="D43" s="126">
        <v>342.06</v>
      </c>
      <c r="E43" s="111">
        <v>314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128</v>
      </c>
      <c r="D45" s="89">
        <v>447.85</v>
      </c>
      <c r="E45" s="123">
        <v>250</v>
      </c>
      <c r="F45" s="91" t="s">
        <v>60</v>
      </c>
      <c r="G45" s="92">
        <f>2275228/2424588</f>
        <v>0.93839778139626195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412.78</v>
      </c>
      <c r="E47" s="133">
        <v>482</v>
      </c>
      <c r="F47" s="91" t="s">
        <v>61</v>
      </c>
      <c r="G47" s="92">
        <f>C51/C45</f>
        <v>0.1328125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11</v>
      </c>
      <c r="D49" s="106">
        <v>459.58</v>
      </c>
      <c r="E49" s="107">
        <v>103</v>
      </c>
      <c r="F49" s="91" t="s">
        <v>62</v>
      </c>
      <c r="G49" s="92">
        <f>C53/C45</f>
        <v>3.90625E-2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17</v>
      </c>
      <c r="D51" s="106">
        <v>439.02</v>
      </c>
      <c r="E51" s="107">
        <v>231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411.98</v>
      </c>
      <c r="E53" s="111">
        <v>481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113</v>
      </c>
      <c r="D55" s="89">
        <v>692.96</v>
      </c>
      <c r="E55" s="123">
        <v>323</v>
      </c>
      <c r="F55" s="91" t="s">
        <v>60</v>
      </c>
      <c r="G55" s="92">
        <f>6650000/7248333</f>
        <v>0.91745233007368732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</v>
      </c>
      <c r="D57" s="96">
        <v>601.36</v>
      </c>
      <c r="E57" s="133">
        <v>511</v>
      </c>
      <c r="F57" s="91" t="s">
        <v>61</v>
      </c>
      <c r="G57" s="92">
        <f>C61/C55</f>
        <v>2.6548672566371681E-2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4</v>
      </c>
      <c r="D59" s="157">
        <v>677.14</v>
      </c>
      <c r="E59" s="133">
        <v>72</v>
      </c>
      <c r="F59" s="91" t="s">
        <v>62</v>
      </c>
      <c r="G59" s="92">
        <f>C63/C55</f>
        <v>0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3</v>
      </c>
      <c r="D61" s="106">
        <v>770.7</v>
      </c>
      <c r="E61" s="142">
        <v>136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0</v>
      </c>
      <c r="D63" s="110" t="s">
        <v>30</v>
      </c>
      <c r="E63" s="163" t="s">
        <v>30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103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185E5-F8C2-4261-8B33-3870550474AF}">
  <sheetPr codeName="Sheet39"/>
  <dimension ref="A1:K65"/>
  <sheetViews>
    <sheetView view="pageBreakPreview" zoomScaleNormal="100" zoomScaleSheetLayoutView="100" workbookViewId="0">
      <selection activeCell="M36" sqref="M3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99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1556</v>
      </c>
      <c r="D5" s="89">
        <v>322.38</v>
      </c>
      <c r="E5" s="90">
        <v>152</v>
      </c>
      <c r="F5" s="91" t="s">
        <v>60</v>
      </c>
      <c r="G5" s="92">
        <f>799941/829938</f>
        <v>0.96385633625644329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271</v>
      </c>
      <c r="D7" s="96">
        <v>266.26</v>
      </c>
      <c r="E7" s="97">
        <v>107</v>
      </c>
      <c r="F7" s="91" t="s">
        <v>61</v>
      </c>
      <c r="G7" s="92">
        <f>C11/C5</f>
        <v>0.33419023136246789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299</v>
      </c>
      <c r="D9" s="106">
        <v>273.89999999999998</v>
      </c>
      <c r="E9" s="107">
        <v>87</v>
      </c>
      <c r="F9" s="91" t="s">
        <v>62</v>
      </c>
      <c r="G9" s="92">
        <f>C13/C5</f>
        <v>4.8843187660668377E-2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520</v>
      </c>
      <c r="D11" s="106">
        <v>259.02</v>
      </c>
      <c r="E11" s="107">
        <v>114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76</v>
      </c>
      <c r="D13" s="110">
        <v>334.94</v>
      </c>
      <c r="E13" s="111">
        <v>239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860</v>
      </c>
      <c r="D15" s="89">
        <v>245.19</v>
      </c>
      <c r="E15" s="90">
        <v>97</v>
      </c>
      <c r="F15" s="91" t="s">
        <v>60</v>
      </c>
      <c r="G15" s="92">
        <f>564138/577752</f>
        <v>0.97643625638682341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221</v>
      </c>
      <c r="D17" s="96">
        <v>246.61</v>
      </c>
      <c r="E17" s="97">
        <v>93</v>
      </c>
      <c r="F17" s="91" t="s">
        <v>61</v>
      </c>
      <c r="G17" s="92">
        <f>C21/C15</f>
        <v>0.48837209302325579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239</v>
      </c>
      <c r="D19" s="106">
        <v>239.59</v>
      </c>
      <c r="E19" s="107">
        <v>73</v>
      </c>
      <c r="F19" s="91" t="s">
        <v>62</v>
      </c>
      <c r="G19" s="92">
        <f>C23/C15</f>
        <v>3.8372093023255817E-2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420</v>
      </c>
      <c r="D21" s="106">
        <v>237.71</v>
      </c>
      <c r="E21" s="107">
        <v>89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33</v>
      </c>
      <c r="D23" s="110">
        <v>233.84</v>
      </c>
      <c r="E23" s="111">
        <v>184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231</v>
      </c>
      <c r="D25" s="89">
        <v>300.33</v>
      </c>
      <c r="E25" s="123">
        <v>170</v>
      </c>
      <c r="F25" s="91" t="s">
        <v>60</v>
      </c>
      <c r="G25" s="92">
        <f>1147138/1205551</f>
        <v>0.95154663718084098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28</v>
      </c>
      <c r="D27" s="96">
        <v>288.25</v>
      </c>
      <c r="E27" s="97">
        <v>166</v>
      </c>
      <c r="F27" s="91" t="s">
        <v>61</v>
      </c>
      <c r="G27" s="92">
        <f>C31/C25</f>
        <v>0.20779220779220781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20</v>
      </c>
      <c r="D29" s="106">
        <v>289.29000000000002</v>
      </c>
      <c r="E29" s="107">
        <v>62</v>
      </c>
      <c r="F29" s="91" t="s">
        <v>62</v>
      </c>
      <c r="G29" s="92">
        <f>C33/C25</f>
        <v>4.3290043290043288E-2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48</v>
      </c>
      <c r="D31" s="106">
        <v>275.77999999999997</v>
      </c>
      <c r="E31" s="107">
        <v>189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10</v>
      </c>
      <c r="D33" s="126">
        <v>308.61</v>
      </c>
      <c r="E33" s="111">
        <v>267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189</v>
      </c>
      <c r="D35" s="89">
        <v>359.18</v>
      </c>
      <c r="E35" s="123">
        <v>201</v>
      </c>
      <c r="F35" s="91" t="s">
        <v>60</v>
      </c>
      <c r="G35" s="92">
        <f>1628259/1702497</f>
        <v>0.95639463681874326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12</v>
      </c>
      <c r="D37" s="96">
        <v>347.11</v>
      </c>
      <c r="E37" s="133">
        <v>185</v>
      </c>
      <c r="F37" s="91" t="s">
        <v>61</v>
      </c>
      <c r="G37" s="92">
        <f>C41/C35</f>
        <v>0.14285714285714285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14</v>
      </c>
      <c r="D39" s="106">
        <v>384.11</v>
      </c>
      <c r="E39" s="107">
        <v>151</v>
      </c>
      <c r="F39" s="91" t="s">
        <v>62</v>
      </c>
      <c r="G39" s="92">
        <f>C43/C35</f>
        <v>7.407407407407407E-2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27</v>
      </c>
      <c r="D41" s="106">
        <v>353.65</v>
      </c>
      <c r="E41" s="107">
        <v>237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14</v>
      </c>
      <c r="D43" s="126">
        <v>351.49</v>
      </c>
      <c r="E43" s="111">
        <v>285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148</v>
      </c>
      <c r="D45" s="89">
        <v>443.88</v>
      </c>
      <c r="E45" s="123">
        <v>244</v>
      </c>
      <c r="F45" s="91" t="s">
        <v>60</v>
      </c>
      <c r="G45" s="92">
        <f>2325734/2448933</f>
        <v>0.9496927845718931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7</v>
      </c>
      <c r="D47" s="96">
        <v>465.89</v>
      </c>
      <c r="E47" s="133">
        <v>110</v>
      </c>
      <c r="F47" s="91" t="s">
        <v>61</v>
      </c>
      <c r="G47" s="92">
        <f>C51/C45</f>
        <v>0.10135135135135136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21</v>
      </c>
      <c r="D49" s="106">
        <v>453.82</v>
      </c>
      <c r="E49" s="107">
        <v>211</v>
      </c>
      <c r="F49" s="91" t="s">
        <v>62</v>
      </c>
      <c r="G49" s="92">
        <f>C53/C45</f>
        <v>8.7837837837837843E-2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15</v>
      </c>
      <c r="D51" s="106">
        <v>421.56</v>
      </c>
      <c r="E51" s="107">
        <v>239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13</v>
      </c>
      <c r="D53" s="110">
        <v>504.3</v>
      </c>
      <c r="E53" s="111">
        <v>282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128</v>
      </c>
      <c r="D55" s="89">
        <v>685.99</v>
      </c>
      <c r="E55" s="123">
        <v>275</v>
      </c>
      <c r="F55" s="91" t="s">
        <v>60</v>
      </c>
      <c r="G55" s="92">
        <f>4512000/4834379</f>
        <v>0.93331532343657786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3</v>
      </c>
      <c r="D57" s="96">
        <v>719.2</v>
      </c>
      <c r="E57" s="133">
        <v>300</v>
      </c>
      <c r="F57" s="91" t="s">
        <v>61</v>
      </c>
      <c r="G57" s="92">
        <f>C61/C55</f>
        <v>7.8125E-2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5</v>
      </c>
      <c r="D59" s="157">
        <v>788.36</v>
      </c>
      <c r="E59" s="133">
        <v>213</v>
      </c>
      <c r="F59" s="91" t="s">
        <v>62</v>
      </c>
      <c r="G59" s="92">
        <f>C63/C55</f>
        <v>4.6875E-2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10</v>
      </c>
      <c r="D61" s="106">
        <v>574.33000000000004</v>
      </c>
      <c r="E61" s="142">
        <v>260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529.35</v>
      </c>
      <c r="E63" s="163">
        <v>305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100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DEC1-222F-459F-9776-E1A60E16DB32}">
  <sheetPr codeName="Sheet40"/>
  <dimension ref="A1:K65"/>
  <sheetViews>
    <sheetView view="pageBreakPreview" topLeftCell="A5" zoomScaleNormal="100" zoomScaleSheetLayoutView="100" workbookViewId="0">
      <selection activeCell="E67" sqref="E67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98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1774</v>
      </c>
      <c r="D5" s="89">
        <v>322.41000000000003</v>
      </c>
      <c r="E5" s="90">
        <v>148</v>
      </c>
      <c r="F5" s="91" t="s">
        <v>60</v>
      </c>
      <c r="G5" s="92">
        <f>816958/847271</f>
        <v>0.96422278114086279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325</v>
      </c>
      <c r="D7" s="96">
        <v>272.19</v>
      </c>
      <c r="E7" s="97">
        <v>116</v>
      </c>
      <c r="F7" s="91" t="s">
        <v>61</v>
      </c>
      <c r="G7" s="92">
        <f>C11/C5</f>
        <v>0.34554678692220969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340</v>
      </c>
      <c r="D9" s="106">
        <v>272.94</v>
      </c>
      <c r="E9" s="107">
        <v>95</v>
      </c>
      <c r="F9" s="91" t="s">
        <v>62</v>
      </c>
      <c r="G9" s="92">
        <f>C13/C5</f>
        <v>2.3111612175873732E-2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613</v>
      </c>
      <c r="D11" s="106">
        <v>258.45999999999998</v>
      </c>
      <c r="E11" s="107">
        <v>107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41</v>
      </c>
      <c r="D13" s="110">
        <v>352.59</v>
      </c>
      <c r="E13" s="111">
        <v>230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975</v>
      </c>
      <c r="D15" s="89">
        <v>244.78</v>
      </c>
      <c r="E15" s="90">
        <v>97</v>
      </c>
      <c r="F15" s="91" t="s">
        <v>60</v>
      </c>
      <c r="G15" s="92">
        <f>580592/594694</f>
        <v>0.97628696438840812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250</v>
      </c>
      <c r="D17" s="96">
        <v>241.07</v>
      </c>
      <c r="E17" s="97">
        <v>95</v>
      </c>
      <c r="F17" s="91" t="s">
        <v>61</v>
      </c>
      <c r="G17" s="92">
        <f>C21/C15</f>
        <v>0.5097435897435898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259</v>
      </c>
      <c r="D19" s="106">
        <v>240.92</v>
      </c>
      <c r="E19" s="107">
        <v>74</v>
      </c>
      <c r="F19" s="91" t="s">
        <v>62</v>
      </c>
      <c r="G19" s="92">
        <f>C23/C15</f>
        <v>1.5384615384615385E-2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497</v>
      </c>
      <c r="D21" s="106">
        <v>235.46</v>
      </c>
      <c r="E21" s="107">
        <v>88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15</v>
      </c>
      <c r="D23" s="110">
        <v>245.69</v>
      </c>
      <c r="E23" s="111">
        <v>148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256</v>
      </c>
      <c r="D25" s="89">
        <v>300.97000000000003</v>
      </c>
      <c r="E25" s="123">
        <v>172</v>
      </c>
      <c r="F25" s="91" t="s">
        <v>60</v>
      </c>
      <c r="G25" s="92">
        <f>1219224/1269266</f>
        <v>0.96057406406537327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38</v>
      </c>
      <c r="D27" s="96">
        <v>293.02999999999997</v>
      </c>
      <c r="E27" s="97">
        <v>177</v>
      </c>
      <c r="F27" s="91" t="s">
        <v>61</v>
      </c>
      <c r="G27" s="92">
        <f>C31/C25</f>
        <v>0.22265625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35</v>
      </c>
      <c r="D29" s="106">
        <v>286.3</v>
      </c>
      <c r="E29" s="107">
        <v>121</v>
      </c>
      <c r="F29" s="91" t="s">
        <v>62</v>
      </c>
      <c r="G29" s="92">
        <f>C33/C25</f>
        <v>3.90625E-2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57</v>
      </c>
      <c r="D31" s="106">
        <v>294.25</v>
      </c>
      <c r="E31" s="107">
        <v>168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10</v>
      </c>
      <c r="D33" s="126">
        <v>308.52999999999997</v>
      </c>
      <c r="E33" s="111">
        <v>176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215</v>
      </c>
      <c r="D35" s="89">
        <v>357.91</v>
      </c>
      <c r="E35" s="123">
        <v>194</v>
      </c>
      <c r="F35" s="91" t="s">
        <v>60</v>
      </c>
      <c r="G35" s="92">
        <f>1679150/1748728</f>
        <v>0.96021222282710628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20</v>
      </c>
      <c r="D37" s="96">
        <v>352.41</v>
      </c>
      <c r="E37" s="133">
        <v>205</v>
      </c>
      <c r="F37" s="91" t="s">
        <v>61</v>
      </c>
      <c r="G37" s="92">
        <f>C41/C35</f>
        <v>0.13953488372093023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20</v>
      </c>
      <c r="D39" s="106">
        <v>379.83</v>
      </c>
      <c r="E39" s="107">
        <v>151</v>
      </c>
      <c r="F39" s="91" t="s">
        <v>62</v>
      </c>
      <c r="G39" s="92">
        <f>C43/C35</f>
        <v>2.7906976744186046E-2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30</v>
      </c>
      <c r="D41" s="106">
        <v>339.63</v>
      </c>
      <c r="E41" s="107">
        <v>179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6</v>
      </c>
      <c r="D43" s="126">
        <v>426.38</v>
      </c>
      <c r="E43" s="111">
        <v>329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182</v>
      </c>
      <c r="D45" s="89">
        <v>441.79</v>
      </c>
      <c r="E45" s="123">
        <v>230</v>
      </c>
      <c r="F45" s="91" t="s">
        <v>60</v>
      </c>
      <c r="G45" s="92">
        <f>2305353/2501729</f>
        <v>0.9215038879111207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478.96</v>
      </c>
      <c r="E47" s="133">
        <v>156</v>
      </c>
      <c r="F47" s="91" t="s">
        <v>61</v>
      </c>
      <c r="G47" s="92">
        <f>C51/C45</f>
        <v>9.3406593406593408E-2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19</v>
      </c>
      <c r="D49" s="106">
        <v>454.48</v>
      </c>
      <c r="E49" s="107">
        <v>202</v>
      </c>
      <c r="F49" s="91" t="s">
        <v>62</v>
      </c>
      <c r="G49" s="92">
        <f>C53/C45</f>
        <v>2.197802197802198E-2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17</v>
      </c>
      <c r="D51" s="106">
        <v>422.68</v>
      </c>
      <c r="E51" s="107">
        <v>150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386.51</v>
      </c>
      <c r="E53" s="111">
        <v>464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138">
        <v>146</v>
      </c>
      <c r="D55" s="89">
        <v>677.29</v>
      </c>
      <c r="E55" s="123">
        <v>275</v>
      </c>
      <c r="F55" s="91" t="s">
        <v>60</v>
      </c>
      <c r="G55" s="92">
        <f>4431667/4706242</f>
        <v>0.94165727134303756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139">
        <v>8</v>
      </c>
      <c r="D57" s="96">
        <v>712.51</v>
      </c>
      <c r="E57" s="133">
        <v>218</v>
      </c>
      <c r="F57" s="91" t="s">
        <v>61</v>
      </c>
      <c r="G57" s="92">
        <f>C61/C55</f>
        <v>8.2191780821917804E-2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7</v>
      </c>
      <c r="D59" s="157">
        <v>592.36</v>
      </c>
      <c r="E59" s="133">
        <v>327</v>
      </c>
      <c r="F59" s="91" t="s">
        <v>62</v>
      </c>
      <c r="G59" s="92">
        <f>C63/C55</f>
        <v>4.1095890410958902E-2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41">
        <v>12</v>
      </c>
      <c r="D61" s="106">
        <v>605.77</v>
      </c>
      <c r="E61" s="142">
        <v>342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596.84</v>
      </c>
      <c r="E63" s="163">
        <v>269</v>
      </c>
      <c r="F63" s="112"/>
      <c r="G63" s="113"/>
      <c r="H63" s="137"/>
    </row>
    <row r="64" spans="1:11" ht="15.5" x14ac:dyDescent="0.35">
      <c r="A64" s="101" t="s">
        <v>72</v>
      </c>
    </row>
    <row r="65" spans="1:1" ht="15.5" x14ac:dyDescent="0.35">
      <c r="A65" s="101" t="s">
        <v>97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60C6B-4513-4E43-8FB3-31DEE997188A}">
  <sheetPr codeName="Sheet41"/>
  <dimension ref="A1:J65"/>
  <sheetViews>
    <sheetView view="pageBreakPreview" topLeftCell="A25" zoomScaleNormal="100" zoomScaleSheetLayoutView="100" workbookViewId="0">
      <selection activeCell="H70" sqref="H70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96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1892</v>
      </c>
      <c r="D5" s="89">
        <v>322.13</v>
      </c>
      <c r="E5" s="90">
        <v>146</v>
      </c>
      <c r="F5" s="91" t="s">
        <v>60</v>
      </c>
      <c r="G5" s="92">
        <f>802882/833588</f>
        <v>0.96316405706416119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350</v>
      </c>
      <c r="D7" s="96">
        <v>276.41000000000003</v>
      </c>
      <c r="E7" s="97">
        <v>116</v>
      </c>
      <c r="F7" s="91" t="s">
        <v>61</v>
      </c>
      <c r="G7" s="92">
        <f>C11/C5</f>
        <v>0.27959830866807611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366</v>
      </c>
      <c r="D9" s="106">
        <v>268.97000000000003</v>
      </c>
      <c r="E9" s="107">
        <v>89</v>
      </c>
      <c r="F9" s="91" t="s">
        <v>62</v>
      </c>
      <c r="G9" s="92">
        <f>C13/C5</f>
        <v>3.0126849894291756E-2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529</v>
      </c>
      <c r="D11" s="106">
        <v>261.13</v>
      </c>
      <c r="E11" s="107">
        <v>107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57</v>
      </c>
      <c r="D13" s="110">
        <v>284.58</v>
      </c>
      <c r="E13" s="111">
        <v>291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1054</v>
      </c>
      <c r="D15" s="89">
        <v>245.08</v>
      </c>
      <c r="E15" s="90">
        <v>100</v>
      </c>
      <c r="F15" s="91" t="s">
        <v>60</v>
      </c>
      <c r="G15" s="92">
        <f>574509/588988</f>
        <v>0.9754171562069176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267</v>
      </c>
      <c r="D17" s="96">
        <v>244.64</v>
      </c>
      <c r="E17" s="97">
        <v>89</v>
      </c>
      <c r="F17" s="91" t="s">
        <v>61</v>
      </c>
      <c r="G17" s="92">
        <f>C21/C15</f>
        <v>0.40227703984819735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281</v>
      </c>
      <c r="D19" s="106">
        <v>238.46</v>
      </c>
      <c r="E19" s="107">
        <v>74</v>
      </c>
      <c r="F19" s="91" t="s">
        <v>62</v>
      </c>
      <c r="G19" s="92">
        <f>C23/C15</f>
        <v>2.9411764705882353E-2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424</v>
      </c>
      <c r="D21" s="106">
        <v>236.47</v>
      </c>
      <c r="E21" s="107">
        <v>89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31</v>
      </c>
      <c r="D23" s="110">
        <v>233.22</v>
      </c>
      <c r="E23" s="111">
        <v>214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269</v>
      </c>
      <c r="D25" s="89">
        <v>297.58</v>
      </c>
      <c r="E25" s="123">
        <v>167</v>
      </c>
      <c r="F25" s="91" t="s">
        <v>60</v>
      </c>
      <c r="G25" s="92">
        <f>1181940/1239396</f>
        <v>0.9536419352652421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39</v>
      </c>
      <c r="D27" s="96">
        <v>289.23</v>
      </c>
      <c r="E27" s="97">
        <v>150</v>
      </c>
      <c r="F27" s="91" t="s">
        <v>61</v>
      </c>
      <c r="G27" s="92">
        <f>C31/C25</f>
        <v>0.18215613382899629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40</v>
      </c>
      <c r="D29" s="106">
        <v>299.3</v>
      </c>
      <c r="E29" s="107">
        <v>125</v>
      </c>
      <c r="F29" s="91" t="s">
        <v>62</v>
      </c>
      <c r="G29" s="92">
        <f>C33/C25</f>
        <v>4.4609665427509292E-2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49</v>
      </c>
      <c r="D31" s="106">
        <v>304.54000000000002</v>
      </c>
      <c r="E31" s="107">
        <v>115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12</v>
      </c>
      <c r="D33" s="126">
        <v>279.69</v>
      </c>
      <c r="E33" s="111">
        <v>269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223</v>
      </c>
      <c r="D35" s="89">
        <v>363.48</v>
      </c>
      <c r="E35" s="123">
        <v>197</v>
      </c>
      <c r="F35" s="91" t="s">
        <v>60</v>
      </c>
      <c r="G35" s="92">
        <f>1586249/1662932</f>
        <v>0.95388686969761838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19</v>
      </c>
      <c r="D37" s="96">
        <v>321.05</v>
      </c>
      <c r="E37" s="133">
        <v>189</v>
      </c>
      <c r="F37" s="91" t="s">
        <v>61</v>
      </c>
      <c r="G37" s="92">
        <f>C41/C35</f>
        <v>0.13901345291479822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22</v>
      </c>
      <c r="D39" s="106">
        <v>364.23</v>
      </c>
      <c r="E39" s="107">
        <v>206</v>
      </c>
      <c r="F39" s="91" t="s">
        <v>62</v>
      </c>
      <c r="G39" s="92">
        <f>C43/C35</f>
        <v>3.1390134529147982E-2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31</v>
      </c>
      <c r="D41" s="106">
        <v>337.96</v>
      </c>
      <c r="E41" s="107">
        <v>250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7</v>
      </c>
      <c r="D43" s="126">
        <v>328.41</v>
      </c>
      <c r="E43" s="111">
        <v>434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184</v>
      </c>
      <c r="D45" s="89">
        <v>443.78</v>
      </c>
      <c r="E45" s="123">
        <v>218</v>
      </c>
      <c r="F45" s="91" t="s">
        <v>60</v>
      </c>
      <c r="G45" s="92">
        <f>2279920/2433467</f>
        <v>0.93690195922114416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13</v>
      </c>
      <c r="D47" s="96">
        <v>470.08</v>
      </c>
      <c r="E47" s="133">
        <v>245</v>
      </c>
      <c r="F47" s="91" t="s">
        <v>61</v>
      </c>
      <c r="G47" s="92">
        <f>C51/C45</f>
        <v>8.1521739130434784E-2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18</v>
      </c>
      <c r="D49" s="106">
        <v>467.66</v>
      </c>
      <c r="E49" s="107">
        <v>67</v>
      </c>
      <c r="F49" s="91" t="s">
        <v>62</v>
      </c>
      <c r="G49" s="92">
        <f>C53/C45</f>
        <v>1.6304347826086956E-2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15</v>
      </c>
      <c r="D51" s="106">
        <v>426.04</v>
      </c>
      <c r="E51" s="107">
        <v>232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3</v>
      </c>
      <c r="D53" s="110">
        <v>426.8</v>
      </c>
      <c r="E53" s="111">
        <v>708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159</v>
      </c>
      <c r="D55" s="89">
        <v>658.58</v>
      </c>
      <c r="E55" s="123">
        <v>260</v>
      </c>
      <c r="F55" s="91" t="s">
        <v>60</v>
      </c>
      <c r="G55" s="92">
        <f>3982500/4245400</f>
        <v>0.93807415084562118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12</v>
      </c>
      <c r="D57" s="96">
        <v>661.21</v>
      </c>
      <c r="E57" s="133">
        <v>351</v>
      </c>
      <c r="F57" s="91" t="s">
        <v>61</v>
      </c>
      <c r="G57" s="92">
        <f>C61/C55</f>
        <v>6.2893081761006289E-2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5</v>
      </c>
      <c r="D59" s="157">
        <v>606.63</v>
      </c>
      <c r="E59" s="133">
        <v>214</v>
      </c>
      <c r="F59" s="91" t="s">
        <v>62</v>
      </c>
      <c r="G59" s="92">
        <f>C63/C55</f>
        <v>2.5157232704402517E-2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10</v>
      </c>
      <c r="D61" s="106">
        <v>607.42999999999995</v>
      </c>
      <c r="E61" s="142">
        <v>198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4</v>
      </c>
      <c r="D63" s="110">
        <v>513.97</v>
      </c>
      <c r="E63" s="163">
        <v>391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95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0E5EE-A930-4FA9-B210-C41717D5637B}">
  <sheetPr codeName="Sheet42"/>
  <dimension ref="A1:J65"/>
  <sheetViews>
    <sheetView view="pageBreakPreview" topLeftCell="A19" zoomScaleNormal="100" zoomScaleSheetLayoutView="100" workbookViewId="0">
      <selection activeCell="K60" sqref="K60:K6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93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1982</v>
      </c>
      <c r="D5" s="89">
        <v>320.52</v>
      </c>
      <c r="E5" s="90">
        <v>143</v>
      </c>
      <c r="F5" s="91" t="s">
        <v>60</v>
      </c>
      <c r="G5" s="92">
        <f>771202/800664</f>
        <v>0.96320304147557523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336</v>
      </c>
      <c r="D7" s="96">
        <v>276.33</v>
      </c>
      <c r="E7" s="97">
        <v>119</v>
      </c>
      <c r="F7" s="91" t="s">
        <v>61</v>
      </c>
      <c r="G7" s="92">
        <f>C11/C5</f>
        <v>0.22855701311806256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322</v>
      </c>
      <c r="D9" s="106">
        <v>274.06</v>
      </c>
      <c r="E9" s="107">
        <v>100</v>
      </c>
      <c r="F9" s="91" t="s">
        <v>62</v>
      </c>
      <c r="G9" s="92">
        <f>C13/C5</f>
        <v>1.9172552976791119E-2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453</v>
      </c>
      <c r="D11" s="106">
        <v>264.69</v>
      </c>
      <c r="E11" s="107">
        <v>105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38</v>
      </c>
      <c r="D13" s="110">
        <v>284.89999999999998</v>
      </c>
      <c r="E13" s="111">
        <v>226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1108</v>
      </c>
      <c r="D15" s="89">
        <v>241.9</v>
      </c>
      <c r="E15" s="90">
        <v>97</v>
      </c>
      <c r="F15" s="91" t="s">
        <v>60</v>
      </c>
      <c r="G15" s="92">
        <f>559326/574714</f>
        <v>0.97322494318913411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256</v>
      </c>
      <c r="D17" s="96">
        <v>243.58</v>
      </c>
      <c r="E17" s="97">
        <v>92</v>
      </c>
      <c r="F17" s="91" t="s">
        <v>61</v>
      </c>
      <c r="G17" s="92">
        <f>C21/C15</f>
        <v>0.33935018050541516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245</v>
      </c>
      <c r="D19" s="106">
        <v>238.3</v>
      </c>
      <c r="E19" s="107">
        <v>83</v>
      </c>
      <c r="F19" s="91" t="s">
        <v>62</v>
      </c>
      <c r="G19" s="92">
        <f>C23/C15</f>
        <v>2.2563176895306861E-2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376</v>
      </c>
      <c r="D21" s="106">
        <v>237.72</v>
      </c>
      <c r="E21" s="107">
        <v>90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25</v>
      </c>
      <c r="D23" s="110">
        <v>221.21</v>
      </c>
      <c r="E23" s="111">
        <v>167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276</v>
      </c>
      <c r="D25" s="89">
        <v>309.02</v>
      </c>
      <c r="E25" s="123">
        <v>172</v>
      </c>
      <c r="F25" s="91" t="s">
        <v>60</v>
      </c>
      <c r="G25" s="92">
        <f>1176200/1229297</f>
        <v>0.95680702059795153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40</v>
      </c>
      <c r="D27" s="96">
        <v>312.42</v>
      </c>
      <c r="E27" s="97">
        <v>129</v>
      </c>
      <c r="F27" s="91" t="s">
        <v>61</v>
      </c>
      <c r="G27" s="92">
        <f>C31/C25</f>
        <v>0.12681159420289856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38</v>
      </c>
      <c r="D29" s="106">
        <v>370.03</v>
      </c>
      <c r="E29" s="107">
        <v>135</v>
      </c>
      <c r="F29" s="91" t="s">
        <v>62</v>
      </c>
      <c r="G29" s="92">
        <f>C33/C25</f>
        <v>1.8115942028985508E-2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35</v>
      </c>
      <c r="D31" s="106">
        <v>313.8</v>
      </c>
      <c r="E31" s="107">
        <v>143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5</v>
      </c>
      <c r="D33" s="126">
        <v>292.45</v>
      </c>
      <c r="E33" s="111">
        <v>285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245</v>
      </c>
      <c r="D35" s="89">
        <v>361.63</v>
      </c>
      <c r="E35" s="123">
        <v>200</v>
      </c>
      <c r="F35" s="91" t="s">
        <v>60</v>
      </c>
      <c r="G35" s="92">
        <f>1679406/1769053</f>
        <v>0.94932486477228217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19</v>
      </c>
      <c r="D37" s="96">
        <v>336.91</v>
      </c>
      <c r="E37" s="133">
        <v>211</v>
      </c>
      <c r="F37" s="91" t="s">
        <v>61</v>
      </c>
      <c r="G37" s="92">
        <f>C41/C35</f>
        <v>6.9387755102040816E-2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16</v>
      </c>
      <c r="D39" s="106">
        <v>344.41</v>
      </c>
      <c r="E39" s="107">
        <v>167</v>
      </c>
      <c r="F39" s="91" t="s">
        <v>62</v>
      </c>
      <c r="G39" s="92">
        <f>C43/C35</f>
        <v>2.0408163265306121E-2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17</v>
      </c>
      <c r="D41" s="106">
        <v>347.68</v>
      </c>
      <c r="E41" s="107">
        <v>220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5</v>
      </c>
      <c r="D43" s="126">
        <v>405.66</v>
      </c>
      <c r="E43" s="111">
        <v>372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184</v>
      </c>
      <c r="D45" s="89">
        <v>439.88</v>
      </c>
      <c r="E45" s="123">
        <v>204</v>
      </c>
      <c r="F45" s="91" t="s">
        <v>60</v>
      </c>
      <c r="G45" s="92">
        <f>2284118/2423176</f>
        <v>0.94261333060413277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13</v>
      </c>
      <c r="D47" s="96">
        <v>445.98</v>
      </c>
      <c r="E47" s="133">
        <v>332</v>
      </c>
      <c r="F47" s="91" t="s">
        <v>61</v>
      </c>
      <c r="G47" s="92">
        <f>C51/C45</f>
        <v>9.2391304347826081E-2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14</v>
      </c>
      <c r="D49" s="106">
        <v>478.94</v>
      </c>
      <c r="E49" s="107">
        <v>155</v>
      </c>
      <c r="F49" s="91" t="s">
        <v>62</v>
      </c>
      <c r="G49" s="92">
        <f>C53/C45</f>
        <v>5.434782608695652E-3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17</v>
      </c>
      <c r="D51" s="106">
        <v>504.55</v>
      </c>
      <c r="E51" s="107">
        <v>170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1</v>
      </c>
      <c r="D53" s="110">
        <v>272.51</v>
      </c>
      <c r="E53" s="111">
        <v>366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167</v>
      </c>
      <c r="D55" s="89">
        <v>670.75</v>
      </c>
      <c r="E55" s="123">
        <v>247</v>
      </c>
      <c r="F55" s="91" t="s">
        <v>60</v>
      </c>
      <c r="G55" s="92">
        <f>3812579/4039375</f>
        <v>0.94385369023673216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9</v>
      </c>
      <c r="D57" s="96">
        <v>665.97</v>
      </c>
      <c r="E57" s="133">
        <v>352</v>
      </c>
      <c r="F57" s="91" t="s">
        <v>61</v>
      </c>
      <c r="G57" s="92">
        <f>C61/C55</f>
        <v>4.790419161676647E-2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10</v>
      </c>
      <c r="D59" s="157">
        <v>617.83000000000004</v>
      </c>
      <c r="E59" s="133">
        <v>189</v>
      </c>
      <c r="F59" s="91" t="s">
        <v>62</v>
      </c>
      <c r="G59" s="92">
        <f>C63/C55</f>
        <v>1.1976047904191617E-2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8</v>
      </c>
      <c r="D61" s="106">
        <v>631.19000000000005</v>
      </c>
      <c r="E61" s="142">
        <v>280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2</v>
      </c>
      <c r="D63" s="110">
        <v>766.52</v>
      </c>
      <c r="E63" s="163">
        <v>390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94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A1992-1790-423C-94C1-5644D17A3657}">
  <sheetPr codeName="Sheet43"/>
  <dimension ref="A1:J65"/>
  <sheetViews>
    <sheetView view="pageBreakPreview" zoomScaleNormal="100" zoomScaleSheetLayoutView="100" workbookViewId="0">
      <selection activeCell="D6" sqref="D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91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1950</v>
      </c>
      <c r="D5" s="89">
        <v>317.27</v>
      </c>
      <c r="E5" s="90">
        <v>144</v>
      </c>
      <c r="F5" s="91" t="s">
        <v>60</v>
      </c>
      <c r="G5" s="92">
        <f>774076/819409</f>
        <v>0.94467597988306207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278</v>
      </c>
      <c r="D7" s="96">
        <v>277.93</v>
      </c>
      <c r="E7" s="97">
        <v>125</v>
      </c>
      <c r="F7" s="91" t="s">
        <v>61</v>
      </c>
      <c r="G7" s="92">
        <f>C11/C5</f>
        <v>0.18871794871794872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288</v>
      </c>
      <c r="D9" s="106">
        <v>281.61</v>
      </c>
      <c r="E9" s="107">
        <v>101</v>
      </c>
      <c r="F9" s="91" t="s">
        <v>62</v>
      </c>
      <c r="G9" s="92">
        <f>C13/C5</f>
        <v>1.0256410256410256E-2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368</v>
      </c>
      <c r="D11" s="106">
        <v>250.69</v>
      </c>
      <c r="E11" s="107">
        <v>112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20</v>
      </c>
      <c r="D13" s="110">
        <v>308.27</v>
      </c>
      <c r="E13" s="111">
        <v>217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1089</v>
      </c>
      <c r="D15" s="89">
        <v>243.52</v>
      </c>
      <c r="E15" s="90">
        <v>98</v>
      </c>
      <c r="F15" s="91" t="s">
        <v>60</v>
      </c>
      <c r="G15" s="92">
        <f>550137/565686</f>
        <v>0.97251301959037351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209</v>
      </c>
      <c r="D17" s="96">
        <v>239.5</v>
      </c>
      <c r="E17" s="97">
        <v>90</v>
      </c>
      <c r="F17" s="91" t="s">
        <v>61</v>
      </c>
      <c r="G17" s="92">
        <f>C21/C15</f>
        <v>0.27731864095500458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223</v>
      </c>
      <c r="D19" s="106">
        <v>240.25</v>
      </c>
      <c r="E19" s="107">
        <v>91</v>
      </c>
      <c r="F19" s="91" t="s">
        <v>62</v>
      </c>
      <c r="G19" s="92">
        <f>C23/C15</f>
        <v>1.1019283746556474E-2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302</v>
      </c>
      <c r="D21" s="106">
        <v>231.16</v>
      </c>
      <c r="E21" s="107">
        <v>94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12</v>
      </c>
      <c r="D23" s="110">
        <v>219.26</v>
      </c>
      <c r="E23" s="111">
        <v>154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300</v>
      </c>
      <c r="D25" s="89">
        <v>297.77</v>
      </c>
      <c r="E25" s="123">
        <v>170</v>
      </c>
      <c r="F25" s="91" t="s">
        <v>60</v>
      </c>
      <c r="G25" s="92">
        <f>1165639/1234260</f>
        <v>0.94440312413916028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31</v>
      </c>
      <c r="D27" s="96">
        <v>315.25</v>
      </c>
      <c r="E27" s="97">
        <v>130</v>
      </c>
      <c r="F27" s="91" t="s">
        <v>61</v>
      </c>
      <c r="G27" s="92">
        <f>C31/C25</f>
        <v>0.12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24</v>
      </c>
      <c r="D29" s="106">
        <v>318.17</v>
      </c>
      <c r="E29" s="107">
        <v>120</v>
      </c>
      <c r="F29" s="91" t="s">
        <v>62</v>
      </c>
      <c r="G29" s="92">
        <f>C33/C25</f>
        <v>0.01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36</v>
      </c>
      <c r="D31" s="106">
        <v>287.87</v>
      </c>
      <c r="E31" s="107">
        <v>195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3</v>
      </c>
      <c r="D33" s="126">
        <v>276.64</v>
      </c>
      <c r="E33" s="111">
        <v>209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240</v>
      </c>
      <c r="D35" s="89">
        <v>359.19</v>
      </c>
      <c r="E35" s="123">
        <v>202</v>
      </c>
      <c r="F35" s="91" t="s">
        <v>60</v>
      </c>
      <c r="G35" s="92">
        <f>1682200/1744533</f>
        <v>0.96426952084024775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16</v>
      </c>
      <c r="D37" s="96">
        <v>325.24</v>
      </c>
      <c r="E37" s="133">
        <v>208</v>
      </c>
      <c r="F37" s="91" t="s">
        <v>61</v>
      </c>
      <c r="G37" s="92">
        <f>C41/C35</f>
        <v>6.25E-2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15</v>
      </c>
      <c r="D39" s="106">
        <v>375.71</v>
      </c>
      <c r="E39" s="107">
        <v>226</v>
      </c>
      <c r="F39" s="91" t="s">
        <v>62</v>
      </c>
      <c r="G39" s="92">
        <f>C43/C35</f>
        <v>1.6666666666666666E-2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15</v>
      </c>
      <c r="D41" s="106">
        <v>327.27999999999997</v>
      </c>
      <c r="E41" s="107">
        <v>173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4</v>
      </c>
      <c r="D43" s="126">
        <v>537.23</v>
      </c>
      <c r="E43" s="111">
        <v>408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162</v>
      </c>
      <c r="D45" s="89">
        <v>435.47</v>
      </c>
      <c r="E45" s="123">
        <v>219</v>
      </c>
      <c r="F45" s="91" t="s">
        <v>60</v>
      </c>
      <c r="G45" s="92">
        <f>2391588/2568125</f>
        <v>0.93125840837186669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13</v>
      </c>
      <c r="D47" s="96">
        <v>572.91</v>
      </c>
      <c r="E47" s="133">
        <v>402</v>
      </c>
      <c r="F47" s="91" t="s">
        <v>61</v>
      </c>
      <c r="G47" s="92">
        <f>C51/C45</f>
        <v>4.9382716049382713E-2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17</v>
      </c>
      <c r="D49" s="106">
        <v>470.42</v>
      </c>
      <c r="E49" s="107">
        <v>74</v>
      </c>
      <c r="F49" s="91" t="s">
        <v>62</v>
      </c>
      <c r="G49" s="92">
        <f>C53/C45</f>
        <v>6.1728395061728392E-3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8</v>
      </c>
      <c r="D51" s="106">
        <v>410.55</v>
      </c>
      <c r="E51" s="107">
        <v>184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1</v>
      </c>
      <c r="D53" s="110">
        <v>555.46</v>
      </c>
      <c r="E53" s="111">
        <v>233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159</v>
      </c>
      <c r="D55" s="89">
        <v>675.08</v>
      </c>
      <c r="E55" s="123">
        <v>245</v>
      </c>
      <c r="F55" s="91" t="s">
        <v>60</v>
      </c>
      <c r="G55" s="92">
        <f>4248750/5144875</f>
        <v>0.82582181296921697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7</v>
      </c>
      <c r="D57" s="96">
        <v>578.95000000000005</v>
      </c>
      <c r="E57" s="133">
        <v>386</v>
      </c>
      <c r="F57" s="91" t="s">
        <v>61</v>
      </c>
      <c r="G57" s="92">
        <f>C61/C55</f>
        <v>5.0314465408805034E-2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10</v>
      </c>
      <c r="D59" s="157">
        <v>667.64</v>
      </c>
      <c r="E59" s="133">
        <v>201</v>
      </c>
      <c r="F59" s="91" t="s">
        <v>62</v>
      </c>
      <c r="G59" s="92">
        <f>C63/C55</f>
        <v>0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8</v>
      </c>
      <c r="D61" s="106">
        <v>525.12</v>
      </c>
      <c r="E61" s="142">
        <v>240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0</v>
      </c>
      <c r="D63" s="110" t="s">
        <v>30</v>
      </c>
      <c r="E63" s="163" t="s">
        <v>30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92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0403B-EA68-4301-8C22-8DB867B090F7}">
  <sheetPr codeName="Sheet44"/>
  <dimension ref="A1:J65"/>
  <sheetViews>
    <sheetView view="pageBreakPreview" zoomScaleNormal="100" zoomScaleSheetLayoutView="100" workbookViewId="0">
      <selection activeCell="L66" sqref="L66:L67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89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1876</v>
      </c>
      <c r="D5" s="89">
        <v>321.83999999999997</v>
      </c>
      <c r="E5" s="90">
        <v>147</v>
      </c>
      <c r="F5" s="91" t="s">
        <v>60</v>
      </c>
      <c r="G5" s="92">
        <f>730165/759773</f>
        <v>0.96103046567856454</v>
      </c>
    </row>
    <row r="6" spans="1:7" ht="5.25" customHeight="1" x14ac:dyDescent="0.35">
      <c r="A6" s="78"/>
      <c r="B6" s="93"/>
      <c r="C6" s="93"/>
      <c r="D6" s="93"/>
      <c r="E6" s="161"/>
      <c r="F6" s="26"/>
      <c r="G6" s="80"/>
    </row>
    <row r="7" spans="1:7" ht="15.5" x14ac:dyDescent="0.35">
      <c r="A7" s="78"/>
      <c r="B7" s="94" t="s">
        <v>31</v>
      </c>
      <c r="C7" s="95">
        <v>279</v>
      </c>
      <c r="D7" s="96">
        <v>276.14</v>
      </c>
      <c r="E7" s="97">
        <v>128</v>
      </c>
      <c r="F7" s="91" t="s">
        <v>61</v>
      </c>
      <c r="G7" s="92">
        <f>C11/C5</f>
        <v>0.17164179104477612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240</v>
      </c>
      <c r="D9" s="106">
        <v>275.83</v>
      </c>
      <c r="E9" s="107">
        <v>96</v>
      </c>
      <c r="F9" s="91" t="s">
        <v>62</v>
      </c>
      <c r="G9" s="92">
        <f>C13/C5</f>
        <v>1.9722814498933903E-2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322</v>
      </c>
      <c r="D11" s="106">
        <v>250.39</v>
      </c>
      <c r="E11" s="107">
        <v>103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37</v>
      </c>
      <c r="D13" s="110">
        <v>306.95999999999998</v>
      </c>
      <c r="E13" s="111">
        <v>213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1025</v>
      </c>
      <c r="D15" s="89">
        <v>243.59</v>
      </c>
      <c r="E15" s="90">
        <v>104</v>
      </c>
      <c r="F15" s="91" t="s">
        <v>60</v>
      </c>
      <c r="G15" s="92">
        <f>560544/579090</f>
        <v>0.96797389006890122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219</v>
      </c>
      <c r="D17" s="96">
        <v>241.39</v>
      </c>
      <c r="E17" s="97">
        <v>95</v>
      </c>
      <c r="F17" s="91" t="s">
        <v>61</v>
      </c>
      <c r="G17" s="92">
        <f>C21/C15</f>
        <v>0.26146341463414635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187</v>
      </c>
      <c r="D19" s="106">
        <v>236.36</v>
      </c>
      <c r="E19" s="107">
        <v>90</v>
      </c>
      <c r="F19" s="91" t="s">
        <v>62</v>
      </c>
      <c r="G19" s="92">
        <f>C23/C15</f>
        <v>2.6341463414634145E-2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268</v>
      </c>
      <c r="D21" s="106">
        <v>240.3</v>
      </c>
      <c r="E21" s="107">
        <v>91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27</v>
      </c>
      <c r="D23" s="110">
        <v>250.95</v>
      </c>
      <c r="E23" s="111">
        <v>192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302</v>
      </c>
      <c r="D25" s="89">
        <v>308.44</v>
      </c>
      <c r="E25" s="123">
        <v>161</v>
      </c>
      <c r="F25" s="91" t="s">
        <v>60</v>
      </c>
      <c r="G25" s="92">
        <f>1201172/1241619</f>
        <v>0.96742398433013665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26</v>
      </c>
      <c r="D27" s="96">
        <v>316.3</v>
      </c>
      <c r="E27" s="97">
        <v>224</v>
      </c>
      <c r="F27" s="91" t="s">
        <v>61</v>
      </c>
      <c r="G27" s="92">
        <f>C31/C25</f>
        <v>0.10596026490066225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20</v>
      </c>
      <c r="D29" s="106">
        <v>290.08</v>
      </c>
      <c r="E29" s="107">
        <v>135</v>
      </c>
      <c r="F29" s="91" t="s">
        <v>62</v>
      </c>
      <c r="G29" s="92">
        <f>C33/C25</f>
        <v>9.9337748344370865E-3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32</v>
      </c>
      <c r="D31" s="106">
        <v>303.27999999999997</v>
      </c>
      <c r="E31" s="107">
        <v>146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3</v>
      </c>
      <c r="D33" s="126">
        <v>300.38</v>
      </c>
      <c r="E33" s="111">
        <v>80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242</v>
      </c>
      <c r="D35" s="89">
        <v>361.93</v>
      </c>
      <c r="E35" s="123">
        <v>200</v>
      </c>
      <c r="F35" s="91" t="s">
        <v>60</v>
      </c>
      <c r="G35" s="92">
        <f>1634167/1719917</f>
        <v>0.95014294294433976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13</v>
      </c>
      <c r="D37" s="96">
        <v>330.82</v>
      </c>
      <c r="E37" s="133">
        <v>255</v>
      </c>
      <c r="F37" s="91" t="s">
        <v>61</v>
      </c>
      <c r="G37" s="92">
        <f>C41/C35</f>
        <v>4.9586776859504134E-2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13</v>
      </c>
      <c r="D39" s="106">
        <v>380.65</v>
      </c>
      <c r="E39" s="107">
        <v>98</v>
      </c>
      <c r="F39" s="91" t="s">
        <v>62</v>
      </c>
      <c r="G39" s="92">
        <f>C43/C35</f>
        <v>4.1322314049586778E-3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12</v>
      </c>
      <c r="D41" s="106">
        <v>359.82</v>
      </c>
      <c r="E41" s="107">
        <v>258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</v>
      </c>
      <c r="D43" s="126">
        <v>294.64</v>
      </c>
      <c r="E43" s="111">
        <v>315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151</v>
      </c>
      <c r="D45" s="89">
        <v>448.02</v>
      </c>
      <c r="E45" s="123">
        <v>227</v>
      </c>
      <c r="F45" s="91" t="s">
        <v>60</v>
      </c>
      <c r="G45" s="92">
        <f>2191250/2423125</f>
        <v>0.90430745421717829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10</v>
      </c>
      <c r="D47" s="96">
        <v>451.91</v>
      </c>
      <c r="E47" s="133">
        <v>189</v>
      </c>
      <c r="F47" s="91" t="s">
        <v>61</v>
      </c>
      <c r="G47" s="92">
        <f>C51/C45</f>
        <v>5.2980132450331126E-2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12</v>
      </c>
      <c r="D49" s="106">
        <v>483.77</v>
      </c>
      <c r="E49" s="107">
        <v>152</v>
      </c>
      <c r="F49" s="91" t="s">
        <v>62</v>
      </c>
      <c r="G49" s="92">
        <f>C53/C45</f>
        <v>6.6225165562913907E-3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8</v>
      </c>
      <c r="D51" s="106">
        <v>372.82</v>
      </c>
      <c r="E51" s="107">
        <v>104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1</v>
      </c>
      <c r="D53" s="110">
        <v>526.08000000000004</v>
      </c>
      <c r="E53" s="111">
        <v>39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156</v>
      </c>
      <c r="D55" s="89">
        <v>677.56</v>
      </c>
      <c r="E55" s="123">
        <v>248</v>
      </c>
      <c r="F55" s="91" t="s">
        <v>60</v>
      </c>
      <c r="G55" s="92">
        <f>4655000/4847500</f>
        <v>0.96028880866425992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11</v>
      </c>
      <c r="D57" s="96">
        <v>648.53</v>
      </c>
      <c r="E57" s="133">
        <v>357</v>
      </c>
      <c r="F57" s="91" t="s">
        <v>61</v>
      </c>
      <c r="G57" s="92">
        <f>C61/C55</f>
        <v>1.282051282051282E-2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8</v>
      </c>
      <c r="D59" s="157">
        <v>680.6</v>
      </c>
      <c r="E59" s="133">
        <v>61</v>
      </c>
      <c r="F59" s="91" t="s">
        <v>62</v>
      </c>
      <c r="G59" s="92">
        <f>C63/C55</f>
        <v>3.2051282051282048E-2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2</v>
      </c>
      <c r="D61" s="106">
        <v>619.79999999999995</v>
      </c>
      <c r="E61" s="142">
        <v>92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5</v>
      </c>
      <c r="D63" s="110">
        <v>572</v>
      </c>
      <c r="E63" s="163">
        <v>418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90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EF46-0BDD-49B5-B2AB-0EF8BB90DCCA}">
  <sheetPr codeName="Sheet45"/>
  <dimension ref="A1:J65"/>
  <sheetViews>
    <sheetView view="pageBreakPreview" zoomScaleNormal="100" zoomScaleSheetLayoutView="100" workbookViewId="0">
      <selection activeCell="A9" sqref="A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87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1665</v>
      </c>
      <c r="D5" s="89">
        <v>322.43</v>
      </c>
      <c r="E5" s="90">
        <v>160</v>
      </c>
      <c r="F5" s="91" t="s">
        <v>60</v>
      </c>
      <c r="G5" s="92">
        <f>732338/760618</f>
        <v>0.96281970713288401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175</v>
      </c>
      <c r="D7" s="96">
        <v>277.58999999999997</v>
      </c>
      <c r="E7" s="97">
        <v>140</v>
      </c>
      <c r="F7" s="91" t="s">
        <v>61</v>
      </c>
      <c r="G7" s="92">
        <f>C11/C5</f>
        <v>0.20840840840840841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192</v>
      </c>
      <c r="D9" s="106">
        <v>272.42</v>
      </c>
      <c r="E9" s="107">
        <v>91</v>
      </c>
      <c r="F9" s="91" t="s">
        <v>62</v>
      </c>
      <c r="G9" s="92">
        <f>C13/C5</f>
        <v>5.2252252252252253E-2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347</v>
      </c>
      <c r="D11" s="106">
        <v>246.42</v>
      </c>
      <c r="E11" s="107">
        <v>101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87</v>
      </c>
      <c r="D13" s="110">
        <v>275.48</v>
      </c>
      <c r="E13" s="111">
        <v>237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913</v>
      </c>
      <c r="D15" s="89">
        <v>242.66</v>
      </c>
      <c r="E15" s="90">
        <v>114</v>
      </c>
      <c r="F15" s="91" t="s">
        <v>60</v>
      </c>
      <c r="G15" s="92">
        <f>570617/587668</f>
        <v>0.9709853182409115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134</v>
      </c>
      <c r="D17" s="96">
        <v>235.56</v>
      </c>
      <c r="E17" s="97">
        <v>113</v>
      </c>
      <c r="F17" s="91" t="s">
        <v>61</v>
      </c>
      <c r="G17" s="92">
        <f>C21/C15</f>
        <v>0.31106243154435925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150</v>
      </c>
      <c r="D19" s="106">
        <v>242.97</v>
      </c>
      <c r="E19" s="107">
        <v>87</v>
      </c>
      <c r="F19" s="91" t="s">
        <v>62</v>
      </c>
      <c r="G19" s="92">
        <f>C23/C15</f>
        <v>6.4622124863088715E-2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284</v>
      </c>
      <c r="D21" s="106">
        <v>227.52</v>
      </c>
      <c r="E21" s="107">
        <v>92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59</v>
      </c>
      <c r="D23" s="110">
        <v>233.3</v>
      </c>
      <c r="E23" s="111">
        <v>167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272</v>
      </c>
      <c r="D25" s="89">
        <v>301.08999999999997</v>
      </c>
      <c r="E25" s="123">
        <v>170</v>
      </c>
      <c r="F25" s="91" t="s">
        <v>60</v>
      </c>
      <c r="G25" s="92">
        <f>1180835/1242575</f>
        <v>0.95031285837876989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19</v>
      </c>
      <c r="D27" s="96">
        <v>313.66000000000003</v>
      </c>
      <c r="E27" s="97">
        <v>232</v>
      </c>
      <c r="F27" s="91" t="s">
        <v>61</v>
      </c>
      <c r="G27" s="92">
        <f>C31/C25</f>
        <v>0.15073529411764705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19</v>
      </c>
      <c r="D29" s="106">
        <v>291.51</v>
      </c>
      <c r="E29" s="107">
        <v>96</v>
      </c>
      <c r="F29" s="91" t="s">
        <v>62</v>
      </c>
      <c r="G29" s="92">
        <f>C33/C25</f>
        <v>3.6764705882352942E-2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41</v>
      </c>
      <c r="D31" s="106">
        <v>289.5</v>
      </c>
      <c r="E31" s="107">
        <v>137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10</v>
      </c>
      <c r="D33" s="126">
        <v>269.16000000000003</v>
      </c>
      <c r="E33" s="111">
        <v>320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205</v>
      </c>
      <c r="D35" s="89">
        <v>368.62</v>
      </c>
      <c r="E35" s="123">
        <v>217</v>
      </c>
      <c r="F35" s="91" t="s">
        <v>60</v>
      </c>
      <c r="G35" s="92">
        <f>1609159/1705062</f>
        <v>0.94375395146921348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7</v>
      </c>
      <c r="D37" s="96">
        <v>342.05</v>
      </c>
      <c r="E37" s="133">
        <v>276</v>
      </c>
      <c r="F37" s="91" t="s">
        <v>61</v>
      </c>
      <c r="G37" s="92">
        <f>C41/C35</f>
        <v>7.8048780487804878E-2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7</v>
      </c>
      <c r="D39" s="106">
        <v>383.24</v>
      </c>
      <c r="E39" s="107">
        <v>152</v>
      </c>
      <c r="F39" s="91" t="s">
        <v>62</v>
      </c>
      <c r="G39" s="92">
        <f>C43/C35</f>
        <v>4.878048780487805E-2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16</v>
      </c>
      <c r="D41" s="106">
        <v>361.88</v>
      </c>
      <c r="E41" s="107">
        <v>151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10</v>
      </c>
      <c r="D43" s="126">
        <v>302.99</v>
      </c>
      <c r="E43" s="111">
        <v>330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125</v>
      </c>
      <c r="D45" s="89">
        <v>456.02</v>
      </c>
      <c r="E45" s="123">
        <v>255</v>
      </c>
      <c r="F45" s="91" t="s">
        <v>60</v>
      </c>
      <c r="G45" s="92">
        <f>2588800/2671250</f>
        <v>0.96913430042115112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7</v>
      </c>
      <c r="D47" s="96">
        <v>436.07</v>
      </c>
      <c r="E47" s="133">
        <v>183</v>
      </c>
      <c r="F47" s="91" t="s">
        <v>61</v>
      </c>
      <c r="G47" s="92">
        <f>C51/C45</f>
        <v>3.2000000000000001E-2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13</v>
      </c>
      <c r="D49" s="106">
        <v>458.72</v>
      </c>
      <c r="E49" s="107">
        <v>92</v>
      </c>
      <c r="F49" s="91" t="s">
        <v>62</v>
      </c>
      <c r="G49" s="92">
        <f>C53/C45</f>
        <v>4.8000000000000001E-2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4</v>
      </c>
      <c r="D51" s="106">
        <v>560.05999999999995</v>
      </c>
      <c r="E51" s="107">
        <v>148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6</v>
      </c>
      <c r="D53" s="110">
        <v>448.2</v>
      </c>
      <c r="E53" s="111">
        <v>502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150</v>
      </c>
      <c r="D55" s="89">
        <v>672.19</v>
      </c>
      <c r="E55" s="123">
        <v>267</v>
      </c>
      <c r="F55" s="91" t="s">
        <v>60</v>
      </c>
      <c r="G55" s="92">
        <f>3775000/4062500</f>
        <v>0.92923076923076919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8</v>
      </c>
      <c r="D57" s="96">
        <v>700.89</v>
      </c>
      <c r="E57" s="133">
        <v>215</v>
      </c>
      <c r="F57" s="91" t="s">
        <v>61</v>
      </c>
      <c r="G57" s="92">
        <f>C61/C55</f>
        <v>1.3333333333333334E-2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3</v>
      </c>
      <c r="D59" s="157">
        <v>558.34</v>
      </c>
      <c r="E59" s="133">
        <v>75</v>
      </c>
      <c r="F59" s="91" t="s">
        <v>62</v>
      </c>
      <c r="G59" s="92">
        <f>C63/C55</f>
        <v>1.3333333333333334E-2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2</v>
      </c>
      <c r="D61" s="106">
        <v>566.35</v>
      </c>
      <c r="E61" s="142">
        <v>161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2</v>
      </c>
      <c r="D63" s="157">
        <v>895.83</v>
      </c>
      <c r="E63" s="157">
        <v>620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88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69A28-1816-48C5-B3F2-40129AE035DE}">
  <sheetPr codeName="Sheet46"/>
  <dimension ref="A1:J65"/>
  <sheetViews>
    <sheetView view="pageBreakPreview" zoomScaleNormal="100" zoomScaleSheetLayoutView="100" workbookViewId="0">
      <selection activeCell="J53" sqref="J5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85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1738</v>
      </c>
      <c r="D5" s="89">
        <v>318.02999999999997</v>
      </c>
      <c r="E5" s="90">
        <v>152</v>
      </c>
      <c r="F5" s="91" t="s">
        <v>60</v>
      </c>
      <c r="G5" s="92">
        <f>759306/787335</f>
        <v>0.9644001600335308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218</v>
      </c>
      <c r="D7" s="96">
        <v>259.55</v>
      </c>
      <c r="E7" s="97">
        <v>121</v>
      </c>
      <c r="F7" s="91" t="s">
        <v>61</v>
      </c>
      <c r="G7" s="92">
        <f>C11/C5</f>
        <v>0.2002301495972382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229</v>
      </c>
      <c r="D9" s="106">
        <v>267.45999999999998</v>
      </c>
      <c r="E9" s="107">
        <v>92</v>
      </c>
      <c r="F9" s="91" t="s">
        <v>62</v>
      </c>
      <c r="G9" s="92">
        <f>C13/C5</f>
        <v>1.611047180667434E-2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348</v>
      </c>
      <c r="D11" s="106">
        <v>250.27</v>
      </c>
      <c r="E11" s="107">
        <v>107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28</v>
      </c>
      <c r="D13" s="110">
        <v>307.77</v>
      </c>
      <c r="E13" s="111">
        <v>213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976</v>
      </c>
      <c r="D15" s="89">
        <v>241.85</v>
      </c>
      <c r="E15" s="90">
        <v>105</v>
      </c>
      <c r="F15" s="91" t="s">
        <v>60</v>
      </c>
      <c r="G15" s="92">
        <f>578978/596032</f>
        <v>0.97138744228497798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177</v>
      </c>
      <c r="D17" s="96">
        <v>235.05</v>
      </c>
      <c r="E17" s="97">
        <v>98</v>
      </c>
      <c r="F17" s="91" t="s">
        <v>61</v>
      </c>
      <c r="G17" s="92">
        <f>C21/C15</f>
        <v>0.29303278688524592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177</v>
      </c>
      <c r="D19" s="106">
        <v>237.99</v>
      </c>
      <c r="E19" s="107">
        <v>88</v>
      </c>
      <c r="F19" s="91" t="s">
        <v>62</v>
      </c>
      <c r="G19" s="92">
        <f>C23/C15</f>
        <v>1.8442622950819672E-2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286</v>
      </c>
      <c r="D21" s="106">
        <v>231.26</v>
      </c>
      <c r="E21" s="107">
        <v>92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18</v>
      </c>
      <c r="D23" s="110">
        <v>244.56</v>
      </c>
      <c r="E23" s="111">
        <v>178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284</v>
      </c>
      <c r="D25" s="89">
        <v>295.68</v>
      </c>
      <c r="E25" s="123">
        <v>166</v>
      </c>
      <c r="F25" s="91" t="s">
        <v>60</v>
      </c>
      <c r="G25" s="92">
        <f>1154249/1223354</f>
        <v>0.94351185347822464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24</v>
      </c>
      <c r="D27" s="96">
        <v>302.89</v>
      </c>
      <c r="E27" s="97">
        <v>214</v>
      </c>
      <c r="F27" s="91" t="s">
        <v>61</v>
      </c>
      <c r="G27" s="92">
        <f>C31/C25</f>
        <v>0.12323943661971831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30</v>
      </c>
      <c r="D29" s="106">
        <v>298.86</v>
      </c>
      <c r="E29" s="107">
        <v>99</v>
      </c>
      <c r="F29" s="91" t="s">
        <v>62</v>
      </c>
      <c r="G29" s="92">
        <f>C33/C25</f>
        <v>1.4084507042253521E-2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35</v>
      </c>
      <c r="D31" s="106">
        <v>282.74</v>
      </c>
      <c r="E31" s="107">
        <v>188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304.81</v>
      </c>
      <c r="E33" s="111">
        <v>136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199</v>
      </c>
      <c r="D35" s="89">
        <v>370.08</v>
      </c>
      <c r="E35" s="123">
        <v>221</v>
      </c>
      <c r="F35" s="91" t="s">
        <v>60</v>
      </c>
      <c r="G35" s="92">
        <f>1710833/1775486</f>
        <v>0.96358574497348892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7</v>
      </c>
      <c r="D37" s="96">
        <v>356.19</v>
      </c>
      <c r="E37" s="133">
        <v>257</v>
      </c>
      <c r="F37" s="91" t="s">
        <v>61</v>
      </c>
      <c r="G37" s="92">
        <f>C41/C35</f>
        <v>9.0452261306532666E-2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10</v>
      </c>
      <c r="D39" s="106">
        <v>396.44</v>
      </c>
      <c r="E39" s="107">
        <v>87</v>
      </c>
      <c r="F39" s="91" t="s">
        <v>62</v>
      </c>
      <c r="G39" s="92">
        <f>C43/C35</f>
        <v>1.0050251256281407E-2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18</v>
      </c>
      <c r="D41" s="106">
        <v>360.44</v>
      </c>
      <c r="E41" s="107">
        <v>158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2</v>
      </c>
      <c r="D43" s="126">
        <v>405.39</v>
      </c>
      <c r="E43" s="111">
        <v>403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136</v>
      </c>
      <c r="D45" s="89">
        <v>447.84</v>
      </c>
      <c r="E45" s="123">
        <v>244</v>
      </c>
      <c r="F45" s="91" t="s">
        <v>60</v>
      </c>
      <c r="G45" s="92">
        <f>2294299/2422429</f>
        <v>0.94710680890956966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6</v>
      </c>
      <c r="D47" s="96">
        <v>424.64</v>
      </c>
      <c r="E47" s="133">
        <v>150</v>
      </c>
      <c r="F47" s="91" t="s">
        <v>61</v>
      </c>
      <c r="G47" s="92">
        <f>C51/C45</f>
        <v>5.1470588235294115E-2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10</v>
      </c>
      <c r="D49" s="106">
        <v>515.91</v>
      </c>
      <c r="E49" s="107">
        <v>129</v>
      </c>
      <c r="F49" s="91" t="s">
        <v>62</v>
      </c>
      <c r="G49" s="92">
        <f>C53/C45</f>
        <v>7.3529411764705881E-3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7</v>
      </c>
      <c r="D51" s="106">
        <v>464.7</v>
      </c>
      <c r="E51" s="107">
        <v>144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1</v>
      </c>
      <c r="D53" s="110">
        <v>424.02</v>
      </c>
      <c r="E53" s="111">
        <v>193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143</v>
      </c>
      <c r="D55" s="89">
        <v>686.41</v>
      </c>
      <c r="E55" s="123">
        <v>266</v>
      </c>
      <c r="F55" s="91" t="s">
        <v>60</v>
      </c>
      <c r="G55" s="92">
        <f>5698500/5897250</f>
        <v>0.96629785069311969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4</v>
      </c>
      <c r="D57" s="96">
        <v>667.07</v>
      </c>
      <c r="E57" s="133">
        <v>305</v>
      </c>
      <c r="F57" s="91" t="s">
        <v>61</v>
      </c>
      <c r="G57" s="92">
        <f>C61/C55</f>
        <v>1.3986013986013986E-2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2</v>
      </c>
      <c r="D59" s="157">
        <v>517.65</v>
      </c>
      <c r="E59" s="133">
        <v>238</v>
      </c>
      <c r="F59" s="91" t="s">
        <v>62</v>
      </c>
      <c r="G59" s="92">
        <f>C63/C55</f>
        <v>2.097902097902098E-2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2</v>
      </c>
      <c r="D61" s="106">
        <v>657.94</v>
      </c>
      <c r="E61" s="142">
        <v>210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3</v>
      </c>
      <c r="D63" s="157">
        <v>587.15</v>
      </c>
      <c r="E63" s="157">
        <v>405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86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9A055-7CA8-483A-90D5-21B29250EC4B}">
  <sheetPr codeName="Sheet47"/>
  <dimension ref="A1:J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83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1716</v>
      </c>
      <c r="D5" s="89">
        <v>312.61</v>
      </c>
      <c r="E5" s="90">
        <v>149</v>
      </c>
      <c r="F5" s="91" t="s">
        <v>60</v>
      </c>
      <c r="G5" s="92">
        <f>748251/776151</f>
        <v>0.96405338651886041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244</v>
      </c>
      <c r="D7" s="96">
        <v>282.27999999999997</v>
      </c>
      <c r="E7" s="97">
        <v>118</v>
      </c>
      <c r="F7" s="91" t="s">
        <v>61</v>
      </c>
      <c r="G7" s="92">
        <f>C11/C5</f>
        <v>0.21561771561771562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208</v>
      </c>
      <c r="D9" s="106">
        <v>264.69</v>
      </c>
      <c r="E9" s="107">
        <v>89</v>
      </c>
      <c r="F9" s="91" t="s">
        <v>62</v>
      </c>
      <c r="G9" s="92">
        <f>C13/C5</f>
        <v>2.3892773892773892E-2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370</v>
      </c>
      <c r="D11" s="106">
        <v>251.72</v>
      </c>
      <c r="E11" s="107">
        <v>101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41</v>
      </c>
      <c r="D13" s="110">
        <v>324.31</v>
      </c>
      <c r="E13" s="111">
        <v>239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994</v>
      </c>
      <c r="D15" s="89">
        <v>241.48</v>
      </c>
      <c r="E15" s="90">
        <v>104</v>
      </c>
      <c r="F15" s="91" t="s">
        <v>60</v>
      </c>
      <c r="G15" s="92">
        <f>552666/566953</f>
        <v>0.97480038027843574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192</v>
      </c>
      <c r="D17" s="96">
        <v>232.45</v>
      </c>
      <c r="E17" s="97">
        <v>93</v>
      </c>
      <c r="F17" s="91" t="s">
        <v>61</v>
      </c>
      <c r="G17" s="92">
        <f>C21/C15</f>
        <v>0.30482897384305835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161</v>
      </c>
      <c r="D19" s="106">
        <v>237.2</v>
      </c>
      <c r="E19" s="107">
        <v>87</v>
      </c>
      <c r="F19" s="91" t="s">
        <v>62</v>
      </c>
      <c r="G19" s="92">
        <f>C23/C15</f>
        <v>2.4144869215291749E-2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303</v>
      </c>
      <c r="D21" s="106">
        <v>231.53</v>
      </c>
      <c r="E21" s="107">
        <v>82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24</v>
      </c>
      <c r="D23" s="110">
        <v>238.83</v>
      </c>
      <c r="E23" s="111">
        <v>123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273</v>
      </c>
      <c r="D25" s="89">
        <v>298.63</v>
      </c>
      <c r="E25" s="123">
        <v>167</v>
      </c>
      <c r="F25" s="91" t="s">
        <v>60</v>
      </c>
      <c r="G25" s="92">
        <f>1232578/1285112</f>
        <v>0.95912107271584113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30</v>
      </c>
      <c r="D27" s="96">
        <v>306.10000000000002</v>
      </c>
      <c r="E27" s="97">
        <v>219</v>
      </c>
      <c r="F27" s="91" t="s">
        <v>61</v>
      </c>
      <c r="G27" s="92">
        <f>C31/C25</f>
        <v>0.11721611721611722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27</v>
      </c>
      <c r="D29" s="106">
        <v>282.66000000000003</v>
      </c>
      <c r="E29" s="107">
        <v>114</v>
      </c>
      <c r="F29" s="91" t="s">
        <v>62</v>
      </c>
      <c r="G29" s="92">
        <f>C33/C25</f>
        <v>1.4652014652014652E-2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32</v>
      </c>
      <c r="D31" s="106">
        <v>303.81</v>
      </c>
      <c r="E31" s="107">
        <v>151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4</v>
      </c>
      <c r="D33" s="126">
        <v>312.75</v>
      </c>
      <c r="E33" s="111">
        <v>402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190</v>
      </c>
      <c r="D35" s="89">
        <v>359.94</v>
      </c>
      <c r="E35" s="123">
        <v>213</v>
      </c>
      <c r="F35" s="91" t="s">
        <v>60</v>
      </c>
      <c r="G35" s="92">
        <f>1674750/1765425</f>
        <v>0.94863842983984026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9</v>
      </c>
      <c r="D37" s="96">
        <v>333.93</v>
      </c>
      <c r="E37" s="133">
        <v>196</v>
      </c>
      <c r="F37" s="91" t="s">
        <v>61</v>
      </c>
      <c r="G37" s="92">
        <f>C41/C35</f>
        <v>0.10526315789473684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12</v>
      </c>
      <c r="D39" s="106">
        <v>39640</v>
      </c>
      <c r="E39" s="107">
        <v>80</v>
      </c>
      <c r="F39" s="91" t="s">
        <v>62</v>
      </c>
      <c r="G39" s="92">
        <f>C43/C35</f>
        <v>3.1578947368421054E-2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20</v>
      </c>
      <c r="D41" s="106">
        <v>339.13</v>
      </c>
      <c r="E41" s="107">
        <v>200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6</v>
      </c>
      <c r="D43" s="126">
        <v>370.37</v>
      </c>
      <c r="E43" s="111">
        <v>386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132</v>
      </c>
      <c r="D45" s="89">
        <v>445.83</v>
      </c>
      <c r="E45" s="123">
        <v>244</v>
      </c>
      <c r="F45" s="91" t="s">
        <v>60</v>
      </c>
      <c r="G45" s="92">
        <f>2324615/2503807</f>
        <v>0.92843218347101031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505.55</v>
      </c>
      <c r="E47" s="133">
        <v>168</v>
      </c>
      <c r="F47" s="91" t="s">
        <v>61</v>
      </c>
      <c r="G47" s="92">
        <f>C51/C45</f>
        <v>9.8484848484848481E-2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7</v>
      </c>
      <c r="D49" s="106">
        <v>543.22</v>
      </c>
      <c r="E49" s="107">
        <v>83</v>
      </c>
      <c r="F49" s="91" t="s">
        <v>62</v>
      </c>
      <c r="G49" s="92">
        <f>C53/C45</f>
        <v>3.0303030303030304E-2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13</v>
      </c>
      <c r="D51" s="106">
        <v>438.11</v>
      </c>
      <c r="E51" s="107">
        <v>277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4</v>
      </c>
      <c r="D53" s="110">
        <v>497.48</v>
      </c>
      <c r="E53" s="111">
        <v>354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127</v>
      </c>
      <c r="D55" s="89">
        <v>690.22</v>
      </c>
      <c r="E55" s="123">
        <v>267</v>
      </c>
      <c r="F55" s="91" t="s">
        <v>60</v>
      </c>
      <c r="G55" s="92">
        <f>3118750/3193750</f>
        <v>0.97651663405088063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4</v>
      </c>
      <c r="D57" s="96">
        <v>656.59</v>
      </c>
      <c r="E57" s="133">
        <v>302</v>
      </c>
      <c r="F57" s="91" t="s">
        <v>61</v>
      </c>
      <c r="G57" s="92">
        <f>C61/C55</f>
        <v>1.5748031496062992E-2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1</v>
      </c>
      <c r="D59" s="157">
        <v>675</v>
      </c>
      <c r="E59" s="133">
        <v>35</v>
      </c>
      <c r="F59" s="91" t="s">
        <v>62</v>
      </c>
      <c r="G59" s="92">
        <f>C63/C55</f>
        <v>2.3622047244094488E-2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2</v>
      </c>
      <c r="D61" s="106">
        <v>582.14</v>
      </c>
      <c r="E61" s="142">
        <v>59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3</v>
      </c>
      <c r="D63" s="157">
        <v>687.98</v>
      </c>
      <c r="E63" s="157">
        <v>505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84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97263-0139-4EC3-82C4-62556E6947BA}">
  <dimension ref="A1:M65"/>
  <sheetViews>
    <sheetView view="pageBreakPreview" topLeftCell="A18" zoomScaleNormal="100" zoomScaleSheetLayoutView="100" workbookViewId="0">
      <selection activeCell="H55" sqref="H55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218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966</v>
      </c>
      <c r="D5" s="89">
        <v>573.63</v>
      </c>
      <c r="E5" s="90">
        <v>112</v>
      </c>
      <c r="F5" s="91" t="s">
        <v>60</v>
      </c>
      <c r="G5" s="92">
        <f>1501640/1564329</f>
        <v>0.95992594908104367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100</v>
      </c>
      <c r="D7" s="167">
        <v>505.67</v>
      </c>
      <c r="E7" s="97">
        <v>85</v>
      </c>
      <c r="F7" s="91" t="s">
        <v>61</v>
      </c>
      <c r="G7" s="92">
        <f>C11/C5</f>
        <v>0.27639751552795033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146</v>
      </c>
      <c r="D9" s="169">
        <v>531.78</v>
      </c>
      <c r="E9" s="107">
        <v>74</v>
      </c>
      <c r="F9" s="91" t="s">
        <v>62</v>
      </c>
      <c r="G9" s="92">
        <f>C13/C5</f>
        <v>8.1780538302277439E-2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267</v>
      </c>
      <c r="D11" s="169">
        <v>473.79</v>
      </c>
      <c r="E11" s="107">
        <v>75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79</v>
      </c>
      <c r="D13" s="170">
        <v>538.69000000000005</v>
      </c>
      <c r="E13" s="111">
        <v>171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258</v>
      </c>
      <c r="D15" s="89">
        <v>400.72</v>
      </c>
      <c r="E15" s="90"/>
      <c r="F15" s="91" t="s">
        <v>60</v>
      </c>
      <c r="G15" s="92">
        <f>722434/740840</f>
        <v>0.97515522919928732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44</v>
      </c>
      <c r="D17" s="96">
        <v>388.59</v>
      </c>
      <c r="E17" s="97"/>
      <c r="F17" s="91" t="s">
        <v>61</v>
      </c>
      <c r="G17" s="92">
        <f>C21/C15</f>
        <v>0.51162790697674421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58</v>
      </c>
      <c r="D19" s="106">
        <v>387.2</v>
      </c>
      <c r="E19" s="107"/>
      <c r="F19" s="91" t="s">
        <v>62</v>
      </c>
      <c r="G19" s="92">
        <f>C23/C15</f>
        <v>0.12790697674418605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132</v>
      </c>
      <c r="D21" s="106">
        <v>374.14</v>
      </c>
      <c r="E21" s="107"/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33</v>
      </c>
      <c r="D23" s="110">
        <v>376.65</v>
      </c>
      <c r="E23" s="111"/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201</v>
      </c>
      <c r="D25" s="96">
        <v>441.98</v>
      </c>
      <c r="E25" s="90">
        <v>93</v>
      </c>
      <c r="F25" s="91" t="s">
        <v>60</v>
      </c>
      <c r="G25" s="92">
        <f>1171155/1218202</f>
        <v>0.96137996818261673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16</v>
      </c>
      <c r="D27" s="106">
        <v>484.75</v>
      </c>
      <c r="E27" s="97">
        <v>75</v>
      </c>
      <c r="F27" s="91" t="s">
        <v>61</v>
      </c>
      <c r="G27" s="92">
        <f>C31/C25</f>
        <v>0.20895522388059701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28</v>
      </c>
      <c r="D29" s="96">
        <v>460.11</v>
      </c>
      <c r="E29" s="107">
        <v>58</v>
      </c>
      <c r="F29" s="91" t="s">
        <v>62</v>
      </c>
      <c r="G29" s="92">
        <f>C33/C25</f>
        <v>4.4776119402985072E-2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42</v>
      </c>
      <c r="D31" s="106">
        <v>432.49</v>
      </c>
      <c r="E31" s="107">
        <v>62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9</v>
      </c>
      <c r="D33" s="110">
        <v>519.4</v>
      </c>
      <c r="E33" s="111">
        <v>144</v>
      </c>
      <c r="F33" s="173"/>
      <c r="G33" s="113"/>
    </row>
    <row r="34" spans="1:13" ht="5.25" customHeight="1" thickBot="1" x14ac:dyDescent="0.4">
      <c r="A34" s="85"/>
      <c r="B34" s="127"/>
      <c r="C34" s="128"/>
      <c r="D34" s="114"/>
      <c r="E34" s="130"/>
      <c r="F34" s="175"/>
      <c r="G34" s="119"/>
    </row>
    <row r="35" spans="1:13" ht="15.5" x14ac:dyDescent="0.35">
      <c r="A35" s="122" t="s">
        <v>66</v>
      </c>
      <c r="B35" s="87" t="s">
        <v>28</v>
      </c>
      <c r="C35" s="88">
        <v>139</v>
      </c>
      <c r="D35" s="96">
        <v>516.42999999999995</v>
      </c>
      <c r="E35" s="90">
        <v>82</v>
      </c>
      <c r="F35" s="91" t="s">
        <v>60</v>
      </c>
      <c r="G35" s="92">
        <f>1699660/1759047</f>
        <v>0.96623910560661541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15</v>
      </c>
      <c r="D37" s="106">
        <v>548.27</v>
      </c>
      <c r="E37" s="97">
        <v>79</v>
      </c>
      <c r="F37" s="91" t="s">
        <v>61</v>
      </c>
      <c r="G37" s="92">
        <f>C41/C35</f>
        <v>0.2733812949640288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13</v>
      </c>
      <c r="D39" s="96">
        <v>544.21</v>
      </c>
      <c r="E39" s="107">
        <v>66</v>
      </c>
      <c r="F39" s="91" t="s">
        <v>62</v>
      </c>
      <c r="G39" s="92">
        <f>C43/C35</f>
        <v>8.6330935251798566E-2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38</v>
      </c>
      <c r="D41" s="106">
        <v>514.19000000000005</v>
      </c>
      <c r="E41" s="107">
        <v>76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12</v>
      </c>
      <c r="D43" s="110">
        <v>477.05</v>
      </c>
      <c r="E43" s="111">
        <v>161</v>
      </c>
      <c r="F43" s="173"/>
      <c r="G43" s="113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75"/>
      <c r="G44" s="119"/>
    </row>
    <row r="45" spans="1:13" ht="15.5" x14ac:dyDescent="0.35">
      <c r="A45" s="122" t="s">
        <v>67</v>
      </c>
      <c r="B45" s="87" t="s">
        <v>28</v>
      </c>
      <c r="C45" s="88">
        <v>152</v>
      </c>
      <c r="D45" s="96">
        <v>605.09</v>
      </c>
      <c r="E45" s="90">
        <v>101</v>
      </c>
      <c r="F45" s="91" t="s">
        <v>60</v>
      </c>
      <c r="G45" s="92">
        <f>2414369/2560857</f>
        <v>0.94279727450615169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12</v>
      </c>
      <c r="D47" s="106">
        <v>587.11</v>
      </c>
      <c r="E47" s="97">
        <v>108</v>
      </c>
      <c r="F47" s="91" t="s">
        <v>61</v>
      </c>
      <c r="G47" s="92">
        <f>C51/C45</f>
        <v>0.13815789473684212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24</v>
      </c>
      <c r="D49" s="96">
        <v>635.82000000000005</v>
      </c>
      <c r="E49" s="107">
        <v>114</v>
      </c>
      <c r="F49" s="91" t="s">
        <v>62</v>
      </c>
      <c r="G49" s="92">
        <f>C53/C45</f>
        <v>7.2368421052631582E-2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21</v>
      </c>
      <c r="D51" s="106">
        <v>606.83000000000004</v>
      </c>
      <c r="E51" s="107">
        <v>82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11</v>
      </c>
      <c r="D53" s="110">
        <v>650.35</v>
      </c>
      <c r="E53" s="111">
        <v>212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218</v>
      </c>
      <c r="D55" s="89">
        <v>912.58</v>
      </c>
      <c r="E55" s="123">
        <v>174</v>
      </c>
      <c r="F55" s="91" t="s">
        <v>60</v>
      </c>
      <c r="G55" s="164">
        <f>4149977/4355844</f>
        <v>0.95273774726551275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13</v>
      </c>
      <c r="D57" s="96">
        <v>803.37</v>
      </c>
      <c r="E57" s="133">
        <v>134</v>
      </c>
      <c r="F57" s="91" t="s">
        <v>61</v>
      </c>
      <c r="G57" s="92">
        <f>C61/C55</f>
        <v>0.15596330275229359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23</v>
      </c>
      <c r="D59" s="106">
        <v>868.02</v>
      </c>
      <c r="E59" s="107">
        <v>117</v>
      </c>
      <c r="F59" s="91" t="s">
        <v>62</v>
      </c>
      <c r="G59" s="92">
        <f>C63/C55</f>
        <v>6.4220183486238536E-2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34</v>
      </c>
      <c r="D61" s="106">
        <v>781.26</v>
      </c>
      <c r="E61" s="107">
        <v>104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14</v>
      </c>
      <c r="D63" s="110">
        <v>898.16</v>
      </c>
      <c r="E63" s="111">
        <v>206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219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52E18-A38E-45BF-9940-BE6E59DE7193}">
  <sheetPr codeName="Sheet48"/>
  <dimension ref="A1:J65"/>
  <sheetViews>
    <sheetView view="pageBreakPreview" zoomScaleNormal="100" zoomScaleSheetLayoutView="100" workbookViewId="0">
      <selection activeCell="I21" sqref="I21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82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1573</v>
      </c>
      <c r="D5" s="89">
        <v>304.39</v>
      </c>
      <c r="E5" s="90">
        <v>162</v>
      </c>
      <c r="F5" s="91" t="s">
        <v>60</v>
      </c>
      <c r="G5" s="92">
        <f>736174/764166</f>
        <v>0.96336921558928301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207</v>
      </c>
      <c r="D7" s="96">
        <v>262.43</v>
      </c>
      <c r="E7" s="97">
        <v>114</v>
      </c>
      <c r="F7" s="91" t="s">
        <v>61</v>
      </c>
      <c r="G7" s="92">
        <f>C11/C5</f>
        <v>0.21296884933248569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255</v>
      </c>
      <c r="D9" s="106">
        <v>263.32</v>
      </c>
      <c r="E9" s="107">
        <v>97</v>
      </c>
      <c r="F9" s="91" t="s">
        <v>62</v>
      </c>
      <c r="G9" s="92">
        <f>C13/C5</f>
        <v>2.3521932612841703E-2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335</v>
      </c>
      <c r="D11" s="106">
        <v>247.92</v>
      </c>
      <c r="E11" s="107">
        <v>108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37</v>
      </c>
      <c r="D13" s="110">
        <v>263.95</v>
      </c>
      <c r="E13" s="111">
        <v>192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930</v>
      </c>
      <c r="D15" s="89">
        <v>239.46</v>
      </c>
      <c r="E15" s="90">
        <v>112</v>
      </c>
      <c r="F15" s="91" t="s">
        <v>60</v>
      </c>
      <c r="G15" s="92">
        <f>538200/554245</f>
        <v>0.97105070862163845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171</v>
      </c>
      <c r="D17" s="96">
        <v>239.37</v>
      </c>
      <c r="E17" s="97">
        <v>96</v>
      </c>
      <c r="F17" s="91" t="s">
        <v>61</v>
      </c>
      <c r="G17" s="92">
        <f>C21/C15</f>
        <v>0.29462365591397849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198</v>
      </c>
      <c r="D19" s="106">
        <v>233</v>
      </c>
      <c r="E19" s="107">
        <v>78</v>
      </c>
      <c r="F19" s="91" t="s">
        <v>62</v>
      </c>
      <c r="G19" s="92">
        <f>C23/C15</f>
        <v>2.7956989247311829E-2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274</v>
      </c>
      <c r="D21" s="106">
        <v>228.11</v>
      </c>
      <c r="E21" s="107">
        <v>90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26</v>
      </c>
      <c r="D23" s="110">
        <v>229.24</v>
      </c>
      <c r="E23" s="111">
        <v>188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247</v>
      </c>
      <c r="D25" s="89">
        <v>294.85000000000002</v>
      </c>
      <c r="E25" s="123">
        <v>187</v>
      </c>
      <c r="F25" s="91" t="s">
        <v>60</v>
      </c>
      <c r="G25" s="92">
        <f>1204293/1264782</f>
        <v>0.95217436680787682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19</v>
      </c>
      <c r="D27" s="96">
        <v>322.69</v>
      </c>
      <c r="E27" s="97">
        <v>163</v>
      </c>
      <c r="F27" s="91" t="s">
        <v>61</v>
      </c>
      <c r="G27" s="92">
        <f>C31/C25</f>
        <v>0.11740890688259109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28</v>
      </c>
      <c r="D29" s="106">
        <v>306.86</v>
      </c>
      <c r="E29" s="107">
        <v>166</v>
      </c>
      <c r="F29" s="91" t="s">
        <v>62</v>
      </c>
      <c r="G29" s="92">
        <f>C33/C25</f>
        <v>2.0242914979757085E-2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29</v>
      </c>
      <c r="D31" s="106">
        <v>303.27999999999997</v>
      </c>
      <c r="E31" s="107">
        <v>124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5</v>
      </c>
      <c r="D33" s="126">
        <v>327.69</v>
      </c>
      <c r="E33" s="111">
        <v>130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168</v>
      </c>
      <c r="D35" s="89">
        <v>360.45</v>
      </c>
      <c r="E35" s="123">
        <v>231</v>
      </c>
      <c r="F35" s="91" t="s">
        <v>60</v>
      </c>
      <c r="G35" s="92">
        <f>1605971/1688619</f>
        <v>0.95105586280860277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7</v>
      </c>
      <c r="D37" s="96">
        <v>314.08</v>
      </c>
      <c r="E37" s="133">
        <v>159</v>
      </c>
      <c r="F37" s="91" t="s">
        <v>61</v>
      </c>
      <c r="G37" s="92">
        <f>C41/C35</f>
        <v>0.125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17</v>
      </c>
      <c r="D39" s="106">
        <v>385.63</v>
      </c>
      <c r="E39" s="107">
        <v>149</v>
      </c>
      <c r="F39" s="91" t="s">
        <v>62</v>
      </c>
      <c r="G39" s="92">
        <f>C43/C35</f>
        <v>1.7857142857142856E-2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21</v>
      </c>
      <c r="D41" s="106">
        <v>318.5</v>
      </c>
      <c r="E41" s="107">
        <v>234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3</v>
      </c>
      <c r="D43" s="126">
        <v>292.89999999999998</v>
      </c>
      <c r="E43" s="111">
        <v>310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118</v>
      </c>
      <c r="D45" s="89">
        <v>452.36</v>
      </c>
      <c r="E45" s="123">
        <v>273</v>
      </c>
      <c r="F45" s="91" t="s">
        <v>60</v>
      </c>
      <c r="G45" s="92">
        <f>2440814/2512862</f>
        <v>0.97132831011014531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7</v>
      </c>
      <c r="D47" s="96">
        <v>451.03</v>
      </c>
      <c r="E47" s="133">
        <v>264</v>
      </c>
      <c r="F47" s="91" t="s">
        <v>61</v>
      </c>
      <c r="G47" s="92">
        <f>C51/C45</f>
        <v>6.7796610169491525E-2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12</v>
      </c>
      <c r="D49" s="106">
        <v>488.8</v>
      </c>
      <c r="E49" s="107">
        <v>181</v>
      </c>
      <c r="F49" s="91" t="s">
        <v>62</v>
      </c>
      <c r="G49" s="92">
        <f>C53/C45</f>
        <v>2.5423728813559324E-2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8</v>
      </c>
      <c r="D51" s="106">
        <v>481.48</v>
      </c>
      <c r="E51" s="107">
        <v>218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3</v>
      </c>
      <c r="D53" s="110">
        <v>429.67</v>
      </c>
      <c r="E53" s="111">
        <v>216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110</v>
      </c>
      <c r="D55" s="89">
        <v>630.41</v>
      </c>
      <c r="E55" s="123">
        <v>309</v>
      </c>
      <c r="F55" s="91" t="s">
        <v>60</v>
      </c>
      <c r="G55" s="92">
        <f>3658333/3693333</f>
        <v>0.99052346484868814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3</v>
      </c>
      <c r="D57" s="96">
        <v>635.04999999999995</v>
      </c>
      <c r="E57" s="133">
        <v>336</v>
      </c>
      <c r="F57" s="91" t="s">
        <v>61</v>
      </c>
      <c r="G57" s="92">
        <f>C61/C55</f>
        <v>2.7272727272727271E-2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0</v>
      </c>
      <c r="D59" s="157" t="s">
        <v>30</v>
      </c>
      <c r="E59" s="157" t="s">
        <v>30</v>
      </c>
      <c r="F59" s="91" t="s">
        <v>62</v>
      </c>
      <c r="G59" s="92">
        <f>C63/C55</f>
        <v>0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3</v>
      </c>
      <c r="D61" s="106">
        <v>537.30999999999995</v>
      </c>
      <c r="E61" s="142">
        <v>359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0</v>
      </c>
      <c r="D63" s="157" t="s">
        <v>30</v>
      </c>
      <c r="E63" s="157" t="s">
        <v>30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81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07561-AB8D-4226-B8DC-F2761E403F98}">
  <sheetPr codeName="Sheet49"/>
  <dimension ref="A1:J65"/>
  <sheetViews>
    <sheetView view="pageBreakPreview" topLeftCell="A16" zoomScaleNormal="100" zoomScaleSheetLayoutView="100" workbookViewId="0">
      <selection activeCell="I47" sqref="I47:I48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79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1491</v>
      </c>
      <c r="D5" s="89">
        <v>296.97000000000003</v>
      </c>
      <c r="E5" s="90">
        <v>163</v>
      </c>
      <c r="F5" s="91" t="s">
        <v>60</v>
      </c>
      <c r="G5" s="92">
        <f>716317/748272</f>
        <v>0.9572949408771142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222</v>
      </c>
      <c r="D7" s="96">
        <v>269.52</v>
      </c>
      <c r="E7" s="97">
        <v>129</v>
      </c>
      <c r="F7" s="91" t="s">
        <v>61</v>
      </c>
      <c r="G7" s="92">
        <f>C11/C5</f>
        <v>0.28638497652582162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250</v>
      </c>
      <c r="D9" s="106">
        <v>263.31</v>
      </c>
      <c r="E9" s="107">
        <v>101</v>
      </c>
      <c r="F9" s="91" t="s">
        <v>62</v>
      </c>
      <c r="G9" s="92">
        <f>C13/C5</f>
        <v>2.4144869215291749E-2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427</v>
      </c>
      <c r="D11" s="106">
        <v>240.51</v>
      </c>
      <c r="E11" s="107">
        <v>114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36</v>
      </c>
      <c r="D13" s="110">
        <v>313.36</v>
      </c>
      <c r="E13" s="111">
        <v>255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897</v>
      </c>
      <c r="D15" s="89">
        <v>237.04</v>
      </c>
      <c r="E15" s="90">
        <v>110</v>
      </c>
      <c r="F15" s="91" t="s">
        <v>60</v>
      </c>
      <c r="G15" s="92">
        <f>556076/572082</f>
        <v>0.97202149342227162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177</v>
      </c>
      <c r="D17" s="96">
        <v>232.59</v>
      </c>
      <c r="E17" s="97">
        <v>106</v>
      </c>
      <c r="F17" s="91" t="s">
        <v>61</v>
      </c>
      <c r="G17" s="92">
        <f>C21/C15</f>
        <v>0.399108138238573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189</v>
      </c>
      <c r="D19" s="106">
        <v>230.99</v>
      </c>
      <c r="E19" s="107">
        <v>76</v>
      </c>
      <c r="F19" s="91" t="s">
        <v>62</v>
      </c>
      <c r="G19" s="92">
        <f>C23/C15</f>
        <v>2.3411371237458192E-2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358</v>
      </c>
      <c r="D21" s="106">
        <v>227.24</v>
      </c>
      <c r="E21" s="107">
        <v>89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21</v>
      </c>
      <c r="D23" s="110">
        <v>236.58</v>
      </c>
      <c r="E23" s="111">
        <v>161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228</v>
      </c>
      <c r="D25" s="89">
        <v>292.76</v>
      </c>
      <c r="E25" s="123">
        <v>197</v>
      </c>
      <c r="F25" s="91" t="s">
        <v>60</v>
      </c>
      <c r="G25" s="92">
        <f>1159425/1232618</f>
        <v>0.94061988385696138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18</v>
      </c>
      <c r="D27" s="96">
        <v>302.66000000000003</v>
      </c>
      <c r="E27" s="97">
        <v>119</v>
      </c>
      <c r="F27" s="91" t="s">
        <v>61</v>
      </c>
      <c r="G27" s="92">
        <f>C31/C25</f>
        <v>0.18859649122807018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29</v>
      </c>
      <c r="D29" s="106">
        <v>300.01</v>
      </c>
      <c r="E29" s="107">
        <v>136</v>
      </c>
      <c r="F29" s="91" t="s">
        <v>62</v>
      </c>
      <c r="G29" s="92">
        <f>C33/C25</f>
        <v>2.1929824561403508E-2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43</v>
      </c>
      <c r="D31" s="106">
        <v>269.27999999999997</v>
      </c>
      <c r="E31" s="107">
        <v>181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5</v>
      </c>
      <c r="D33" s="126">
        <v>313.62</v>
      </c>
      <c r="E33" s="111">
        <v>220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159</v>
      </c>
      <c r="D35" s="89">
        <v>355.42</v>
      </c>
      <c r="E35" s="123">
        <v>233</v>
      </c>
      <c r="F35" s="91" t="s">
        <v>60</v>
      </c>
      <c r="G35" s="92">
        <f>1655000/1761095</f>
        <v>0.93975623120842433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14</v>
      </c>
      <c r="D37" s="96">
        <v>338.45</v>
      </c>
      <c r="E37" s="133">
        <v>244</v>
      </c>
      <c r="F37" s="91" t="s">
        <v>61</v>
      </c>
      <c r="G37" s="92">
        <f>C41/C35</f>
        <v>6.2893081761006289E-2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18</v>
      </c>
      <c r="D39" s="106">
        <v>342.91</v>
      </c>
      <c r="E39" s="107">
        <v>241</v>
      </c>
      <c r="F39" s="91" t="s">
        <v>62</v>
      </c>
      <c r="G39" s="92">
        <f>C43/C35</f>
        <v>3.1446540880503145E-2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10</v>
      </c>
      <c r="D41" s="106">
        <v>320.45999999999998</v>
      </c>
      <c r="E41" s="107">
        <v>374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5</v>
      </c>
      <c r="D43" s="126">
        <v>364.23</v>
      </c>
      <c r="E43" s="111">
        <v>416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114</v>
      </c>
      <c r="D45" s="89">
        <v>428.38</v>
      </c>
      <c r="E45" s="123">
        <v>271</v>
      </c>
      <c r="F45" s="91" t="s">
        <v>60</v>
      </c>
      <c r="G45" s="92">
        <f>2253538/2488154</f>
        <v>0.90570680110636237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6</v>
      </c>
      <c r="D47" s="96">
        <v>424.19</v>
      </c>
      <c r="E47" s="133">
        <v>245</v>
      </c>
      <c r="F47" s="91" t="s">
        <v>61</v>
      </c>
      <c r="G47" s="92">
        <f>C51/C45</f>
        <v>0.11403508771929824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13</v>
      </c>
      <c r="D49" s="106">
        <v>515.62</v>
      </c>
      <c r="E49" s="107">
        <v>199</v>
      </c>
      <c r="F49" s="91" t="s">
        <v>62</v>
      </c>
      <c r="G49" s="92">
        <f>C53/C45</f>
        <v>1.7543859649122806E-2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13</v>
      </c>
      <c r="D51" s="106">
        <v>385.02</v>
      </c>
      <c r="E51" s="107">
        <v>241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2</v>
      </c>
      <c r="D53" s="110">
        <v>474.37</v>
      </c>
      <c r="E53" s="111">
        <v>218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93</v>
      </c>
      <c r="D55" s="89">
        <v>624.41</v>
      </c>
      <c r="E55" s="123">
        <v>349</v>
      </c>
      <c r="F55" s="91" t="s">
        <v>60</v>
      </c>
      <c r="G55" s="92">
        <f>3697000/3915833</f>
        <v>0.94411584968000428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7</v>
      </c>
      <c r="D57" s="96">
        <v>847.6</v>
      </c>
      <c r="E57" s="133">
        <v>404</v>
      </c>
      <c r="F57" s="91" t="s">
        <v>61</v>
      </c>
      <c r="G57" s="92">
        <f>C61/C55</f>
        <v>3.2258064516129031E-2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1</v>
      </c>
      <c r="D59" s="106">
        <v>594.05999999999995</v>
      </c>
      <c r="E59" s="140">
        <v>0</v>
      </c>
      <c r="F59" s="91" t="s">
        <v>62</v>
      </c>
      <c r="G59" s="92">
        <f>C63/C55</f>
        <v>3.2258064516129031E-2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3</v>
      </c>
      <c r="D61" s="106">
        <v>519.29999999999995</v>
      </c>
      <c r="E61" s="142">
        <v>703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3</v>
      </c>
      <c r="D63" s="110">
        <v>528.32000000000005</v>
      </c>
      <c r="E63" s="111">
        <v>729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80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D261E-6359-499D-AD5D-36F8E7D640BC}">
  <sheetPr codeName="Sheet50"/>
  <dimension ref="A1:J65"/>
  <sheetViews>
    <sheetView view="pageBreakPreview" zoomScaleNormal="100" zoomScaleSheetLayoutView="100" workbookViewId="0">
      <selection activeCell="J25" sqref="J25:J2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78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1474</v>
      </c>
      <c r="D5" s="89">
        <v>301.13</v>
      </c>
      <c r="E5" s="90">
        <v>173</v>
      </c>
      <c r="F5" s="91" t="s">
        <v>60</v>
      </c>
      <c r="G5" s="92">
        <f>689407/716764</f>
        <v>0.96183262552248716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239</v>
      </c>
      <c r="D7" s="96">
        <v>259.89</v>
      </c>
      <c r="E7" s="97">
        <v>124</v>
      </c>
      <c r="F7" s="91" t="s">
        <v>61</v>
      </c>
      <c r="G7" s="92">
        <f>C11/C5</f>
        <v>0.31478968792401629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286</v>
      </c>
      <c r="D9" s="106">
        <v>260.58</v>
      </c>
      <c r="E9" s="107">
        <v>101</v>
      </c>
      <c r="F9" s="91" t="s">
        <v>62</v>
      </c>
      <c r="G9" s="92">
        <f>C13/C5</f>
        <v>3.6635006784260515E-2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464</v>
      </c>
      <c r="D11" s="106">
        <v>240.27</v>
      </c>
      <c r="E11" s="107">
        <v>109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54</v>
      </c>
      <c r="D13" s="110">
        <v>292.92</v>
      </c>
      <c r="E13" s="111">
        <v>255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850</v>
      </c>
      <c r="D15" s="89">
        <v>235.88</v>
      </c>
      <c r="E15" s="90">
        <v>118</v>
      </c>
      <c r="F15" s="91" t="s">
        <v>60</v>
      </c>
      <c r="G15" s="92">
        <f>539231/551851</f>
        <v>0.9771315083238048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193</v>
      </c>
      <c r="D17" s="96">
        <v>230.25</v>
      </c>
      <c r="E17" s="97">
        <v>101</v>
      </c>
      <c r="F17" s="91" t="s">
        <v>61</v>
      </c>
      <c r="G17" s="92">
        <f>C21/C15</f>
        <v>0.4611764705882353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221</v>
      </c>
      <c r="D19" s="106">
        <v>230.87</v>
      </c>
      <c r="E19" s="107">
        <v>75</v>
      </c>
      <c r="F19" s="91" t="s">
        <v>62</v>
      </c>
      <c r="G19" s="92">
        <f>C23/C15</f>
        <v>3.8823529411764708E-2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392</v>
      </c>
      <c r="D21" s="106">
        <v>226.59</v>
      </c>
      <c r="E21" s="107">
        <v>92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33</v>
      </c>
      <c r="D23" s="110">
        <v>228.59</v>
      </c>
      <c r="E23" s="111">
        <v>189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218</v>
      </c>
      <c r="D25" s="89">
        <v>294.70999999999998</v>
      </c>
      <c r="E25" s="123">
        <v>200</v>
      </c>
      <c r="F25" s="91" t="s">
        <v>60</v>
      </c>
      <c r="G25" s="92">
        <f>1155946/1225269</f>
        <v>0.9434222199370097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26</v>
      </c>
      <c r="D27" s="96">
        <v>290.49</v>
      </c>
      <c r="E27" s="97">
        <v>173</v>
      </c>
      <c r="F27" s="91" t="s">
        <v>61</v>
      </c>
      <c r="G27" s="92">
        <f>C31/C25</f>
        <v>0.20183486238532111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37</v>
      </c>
      <c r="D29" s="106">
        <v>289.69</v>
      </c>
      <c r="E29" s="107">
        <v>146</v>
      </c>
      <c r="F29" s="91" t="s">
        <v>62</v>
      </c>
      <c r="G29" s="92">
        <f>C33/C25</f>
        <v>3.669724770642202E-2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44</v>
      </c>
      <c r="D31" s="106">
        <v>282.27999999999997</v>
      </c>
      <c r="E31" s="107">
        <v>150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8</v>
      </c>
      <c r="D33" s="126">
        <v>325.05</v>
      </c>
      <c r="E33" s="111">
        <v>342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183</v>
      </c>
      <c r="D35" s="89">
        <v>350.91</v>
      </c>
      <c r="E35" s="123">
        <v>240</v>
      </c>
      <c r="F35" s="91" t="s">
        <v>60</v>
      </c>
      <c r="G35" s="92">
        <f>1699500/1790119</f>
        <v>0.94937822569337571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6</v>
      </c>
      <c r="D37" s="96">
        <v>314.92</v>
      </c>
      <c r="E37" s="133">
        <v>422</v>
      </c>
      <c r="F37" s="91" t="s">
        <v>61</v>
      </c>
      <c r="G37" s="92">
        <f>C41/C35</f>
        <v>8.7431693989071038E-2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12</v>
      </c>
      <c r="D39" s="106">
        <v>345.53</v>
      </c>
      <c r="E39" s="107">
        <v>200</v>
      </c>
      <c r="F39" s="91" t="s">
        <v>62</v>
      </c>
      <c r="G39" s="92">
        <f>C43/C35</f>
        <v>3.2786885245901641E-2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16</v>
      </c>
      <c r="D41" s="106">
        <v>304.11</v>
      </c>
      <c r="E41" s="107">
        <v>196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6</v>
      </c>
      <c r="D43" s="126">
        <v>344.15</v>
      </c>
      <c r="E43" s="111">
        <v>220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124</v>
      </c>
      <c r="D45" s="89">
        <v>434.02</v>
      </c>
      <c r="E45" s="123">
        <v>265</v>
      </c>
      <c r="F45" s="91" t="s">
        <v>60</v>
      </c>
      <c r="G45" s="92">
        <f>2442750/2670400</f>
        <v>0.9147505991611744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11</v>
      </c>
      <c r="D47" s="96">
        <v>405.73</v>
      </c>
      <c r="E47" s="133">
        <v>159</v>
      </c>
      <c r="F47" s="91" t="s">
        <v>61</v>
      </c>
      <c r="G47" s="92">
        <f>C51/C45</f>
        <v>8.0645161290322578E-2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12</v>
      </c>
      <c r="D49" s="106">
        <v>534.01</v>
      </c>
      <c r="E49" s="107">
        <v>192</v>
      </c>
      <c r="F49" s="91" t="s">
        <v>62</v>
      </c>
      <c r="G49" s="92">
        <f>C53/C45</f>
        <v>3.2258064516129031E-2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10</v>
      </c>
      <c r="D51" s="106">
        <v>457.17</v>
      </c>
      <c r="E51" s="107">
        <v>342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4</v>
      </c>
      <c r="D53" s="110">
        <v>465.54</v>
      </c>
      <c r="E53" s="111">
        <v>228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99</v>
      </c>
      <c r="D55" s="89">
        <v>617</v>
      </c>
      <c r="E55" s="123">
        <v>346</v>
      </c>
      <c r="F55" s="91" t="s">
        <v>60</v>
      </c>
      <c r="G55" s="92">
        <f>3012500/3497500</f>
        <v>0.8613295210864903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3</v>
      </c>
      <c r="D57" s="96">
        <v>1256.93</v>
      </c>
      <c r="E57" s="133">
        <v>464</v>
      </c>
      <c r="F57" s="91" t="s">
        <v>61</v>
      </c>
      <c r="G57" s="92">
        <f>C61/C55</f>
        <v>2.0202020202020204E-2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4</v>
      </c>
      <c r="D59" s="106">
        <v>557.73</v>
      </c>
      <c r="E59" s="140">
        <v>527</v>
      </c>
      <c r="F59" s="91" t="s">
        <v>62</v>
      </c>
      <c r="G59" s="92">
        <f>C63/C55</f>
        <v>3.0303030303030304E-2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2</v>
      </c>
      <c r="D61" s="106">
        <v>400.88</v>
      </c>
      <c r="E61" s="142">
        <v>781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3</v>
      </c>
      <c r="D63" s="110">
        <v>582.27</v>
      </c>
      <c r="E63" s="111">
        <v>852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77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56990-C4C7-43BC-97AA-3108D04D3071}">
  <sheetPr codeName="Sheet51"/>
  <dimension ref="A1:J65"/>
  <sheetViews>
    <sheetView view="pageBreakPreview" topLeftCell="A31" zoomScaleNormal="100" zoomScaleSheetLayoutView="100" workbookViewId="0">
      <selection activeCell="I46" sqref="I4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75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1648</v>
      </c>
      <c r="D5" s="89">
        <v>301.51</v>
      </c>
      <c r="E5" s="90">
        <v>186</v>
      </c>
      <c r="F5" s="91" t="s">
        <v>60</v>
      </c>
      <c r="G5" s="92">
        <f>765449/796492</f>
        <v>0.9610253461428363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284</v>
      </c>
      <c r="D7" s="96">
        <v>258.70999999999998</v>
      </c>
      <c r="E7" s="97">
        <v>130</v>
      </c>
      <c r="F7" s="91" t="s">
        <v>61</v>
      </c>
      <c r="G7" s="92">
        <f>C11/C5</f>
        <v>0.33495145631067963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283</v>
      </c>
      <c r="D9" s="106">
        <v>258.69</v>
      </c>
      <c r="E9" s="107">
        <v>102</v>
      </c>
      <c r="F9" s="91" t="s">
        <v>62</v>
      </c>
      <c r="G9" s="92">
        <f>C13/C5</f>
        <v>6.25E-2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552</v>
      </c>
      <c r="D11" s="106">
        <v>244.71</v>
      </c>
      <c r="E11" s="107">
        <v>103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103</v>
      </c>
      <c r="D13" s="110">
        <v>325.42</v>
      </c>
      <c r="E13" s="111">
        <v>279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939</v>
      </c>
      <c r="D15" s="89">
        <v>235.18</v>
      </c>
      <c r="E15" s="90">
        <v>112</v>
      </c>
      <c r="F15" s="91" t="s">
        <v>60</v>
      </c>
      <c r="G15" s="92">
        <f>562828/576480</f>
        <v>0.97631834582292532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231</v>
      </c>
      <c r="D17" s="96">
        <v>233.19</v>
      </c>
      <c r="E17" s="97">
        <v>108</v>
      </c>
      <c r="F17" s="91" t="s">
        <v>61</v>
      </c>
      <c r="G17" s="92">
        <f>C21/C15</f>
        <v>0.46964856230031948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221</v>
      </c>
      <c r="D19" s="106">
        <v>224.33</v>
      </c>
      <c r="E19" s="107">
        <v>79</v>
      </c>
      <c r="F19" s="91" t="s">
        <v>62</v>
      </c>
      <c r="G19" s="92">
        <f>C23/C15</f>
        <v>5.2183173588924388E-2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441</v>
      </c>
      <c r="D21" s="106">
        <v>226.14</v>
      </c>
      <c r="E21" s="107">
        <v>87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49</v>
      </c>
      <c r="D23" s="110">
        <v>245.33</v>
      </c>
      <c r="E23" s="111">
        <v>145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259</v>
      </c>
      <c r="D25" s="89">
        <v>297.88</v>
      </c>
      <c r="E25" s="123">
        <v>189</v>
      </c>
      <c r="F25" s="91" t="s">
        <v>60</v>
      </c>
      <c r="G25" s="92">
        <f>1159023/1215151</f>
        <v>0.95380985572986399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31</v>
      </c>
      <c r="D27" s="96">
        <v>286.14</v>
      </c>
      <c r="E27" s="97">
        <v>159</v>
      </c>
      <c r="F27" s="91" t="s">
        <v>61</v>
      </c>
      <c r="G27" s="92">
        <f>C31/C25</f>
        <v>0.24710424710424711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32</v>
      </c>
      <c r="D29" s="106">
        <v>303.94</v>
      </c>
      <c r="E29" s="107">
        <v>152</v>
      </c>
      <c r="F29" s="91" t="s">
        <v>62</v>
      </c>
      <c r="G29" s="92">
        <f>C33/C25</f>
        <v>6.1776061776061778E-2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64</v>
      </c>
      <c r="D31" s="106">
        <v>274.48</v>
      </c>
      <c r="E31" s="107">
        <v>135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16</v>
      </c>
      <c r="D33" s="126">
        <v>293.99</v>
      </c>
      <c r="E33" s="111">
        <v>366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197</v>
      </c>
      <c r="D35" s="89">
        <v>344.4</v>
      </c>
      <c r="E35" s="123">
        <v>223</v>
      </c>
      <c r="F35" s="91" t="s">
        <v>60</v>
      </c>
      <c r="G35" s="92">
        <f>1616204/1708779</f>
        <v>0.94582388945557028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9</v>
      </c>
      <c r="D37" s="96">
        <v>313.47000000000003</v>
      </c>
      <c r="E37" s="133">
        <v>255</v>
      </c>
      <c r="F37" s="91" t="s">
        <v>61</v>
      </c>
      <c r="G37" s="92">
        <f>C41/C35</f>
        <v>0.13705583756345177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13</v>
      </c>
      <c r="D39" s="106">
        <v>340.71</v>
      </c>
      <c r="E39" s="107">
        <v>161</v>
      </c>
      <c r="F39" s="91" t="s">
        <v>62</v>
      </c>
      <c r="G39" s="92">
        <f>C43/C35</f>
        <v>8.1218274111675121E-2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27</v>
      </c>
      <c r="D41" s="106">
        <v>334.86</v>
      </c>
      <c r="E41" s="107">
        <v>198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16</v>
      </c>
      <c r="D43" s="126">
        <v>331.09</v>
      </c>
      <c r="E43" s="111">
        <v>506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144</v>
      </c>
      <c r="D45" s="89">
        <v>436.7</v>
      </c>
      <c r="E45" s="123">
        <v>256</v>
      </c>
      <c r="F45" s="91" t="s">
        <v>60</v>
      </c>
      <c r="G45" s="92">
        <f>2247130/2533583</f>
        <v>0.88693758996646255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8</v>
      </c>
      <c r="D47" s="96">
        <v>458.38</v>
      </c>
      <c r="E47" s="133">
        <v>170</v>
      </c>
      <c r="F47" s="91" t="s">
        <v>61</v>
      </c>
      <c r="G47" s="92">
        <f>C51/C45</f>
        <v>8.3333333333333329E-2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14</v>
      </c>
      <c r="D49" s="106">
        <v>543.99</v>
      </c>
      <c r="E49" s="107">
        <v>230</v>
      </c>
      <c r="F49" s="91" t="s">
        <v>62</v>
      </c>
      <c r="G49" s="92">
        <f>C53/C45</f>
        <v>6.9444444444444448E-2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12</v>
      </c>
      <c r="D51" s="106">
        <v>392.17</v>
      </c>
      <c r="E51" s="107">
        <v>104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10</v>
      </c>
      <c r="D53" s="110">
        <v>414.8</v>
      </c>
      <c r="E53" s="111">
        <v>292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109</v>
      </c>
      <c r="D55" s="89">
        <v>625.48</v>
      </c>
      <c r="E55" s="123">
        <v>348</v>
      </c>
      <c r="F55" s="91" t="s">
        <v>60</v>
      </c>
      <c r="G55" s="92">
        <f>3692500/3890750</f>
        <v>0.94904581378911523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5</v>
      </c>
      <c r="D57" s="96">
        <v>849.89</v>
      </c>
      <c r="E57" s="133">
        <v>690</v>
      </c>
      <c r="F57" s="91" t="s">
        <v>61</v>
      </c>
      <c r="G57" s="92">
        <f>C61/C55</f>
        <v>7.3394495412844041E-2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3</v>
      </c>
      <c r="D59" s="106">
        <v>620.03</v>
      </c>
      <c r="E59" s="140">
        <v>443</v>
      </c>
      <c r="F59" s="91" t="s">
        <v>62</v>
      </c>
      <c r="G59" s="92">
        <f>C63/C55</f>
        <v>0.11009174311926606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8</v>
      </c>
      <c r="D61" s="106">
        <v>504.97</v>
      </c>
      <c r="E61" s="142">
        <v>394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12</v>
      </c>
      <c r="D63" s="110">
        <v>612.37</v>
      </c>
      <c r="E63" s="111">
        <v>395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76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A0F67-7672-4418-98F8-8B28A4DF35D9}">
  <sheetPr codeName="Sheet52"/>
  <dimension ref="A1:J65"/>
  <sheetViews>
    <sheetView view="pageBreakPreview" zoomScaleNormal="100" zoomScaleSheetLayoutView="100" workbookViewId="0">
      <selection activeCell="K63" sqref="K63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73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1796</v>
      </c>
      <c r="D5" s="89">
        <v>306.93</v>
      </c>
      <c r="E5" s="90">
        <v>173</v>
      </c>
      <c r="F5" s="91" t="s">
        <v>60</v>
      </c>
      <c r="G5" s="92">
        <f>785901/820218</f>
        <v>0.95816112301851464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357</v>
      </c>
      <c r="D7" s="96">
        <v>263.19</v>
      </c>
      <c r="E7" s="97">
        <v>110</v>
      </c>
      <c r="F7" s="91" t="s">
        <v>61</v>
      </c>
      <c r="G7" s="92">
        <f>C11/C5</f>
        <v>0.33017817371937641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331</v>
      </c>
      <c r="D9" s="106">
        <v>257.27</v>
      </c>
      <c r="E9" s="107">
        <v>106</v>
      </c>
      <c r="F9" s="91" t="s">
        <v>62</v>
      </c>
      <c r="G9" s="92">
        <f>C13/C5</f>
        <v>3.6191536748329624E-2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593</v>
      </c>
      <c r="D11" s="106">
        <v>254.43</v>
      </c>
      <c r="E11" s="107">
        <v>111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65</v>
      </c>
      <c r="D13" s="110">
        <v>303.8</v>
      </c>
      <c r="E13" s="111">
        <v>273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990</v>
      </c>
      <c r="D15" s="89">
        <v>235.36</v>
      </c>
      <c r="E15" s="90">
        <v>116</v>
      </c>
      <c r="F15" s="91" t="s">
        <v>60</v>
      </c>
      <c r="G15" s="92">
        <f>547644/561612</f>
        <v>0.97512873656545795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274</v>
      </c>
      <c r="D17" s="96">
        <v>230.68</v>
      </c>
      <c r="E17" s="97">
        <v>96</v>
      </c>
      <c r="F17" s="91" t="s">
        <v>61</v>
      </c>
      <c r="G17" s="92">
        <f>C21/C15</f>
        <v>0.49090909090909091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254</v>
      </c>
      <c r="D19" s="106">
        <v>226.62</v>
      </c>
      <c r="E19" s="107">
        <v>80</v>
      </c>
      <c r="F19" s="91" t="s">
        <v>62</v>
      </c>
      <c r="G19" s="92">
        <f>C23/C15</f>
        <v>3.3333333333333333E-2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486</v>
      </c>
      <c r="D21" s="106">
        <v>227.41</v>
      </c>
      <c r="E21" s="107">
        <v>90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33</v>
      </c>
      <c r="D23" s="110">
        <v>245.89</v>
      </c>
      <c r="E23" s="111">
        <v>224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282</v>
      </c>
      <c r="D25" s="89">
        <v>298.32</v>
      </c>
      <c r="E25" s="123">
        <v>201</v>
      </c>
      <c r="F25" s="91" t="s">
        <v>60</v>
      </c>
      <c r="G25" s="92">
        <f>1148429/1202724</f>
        <v>0.95485664208912435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47</v>
      </c>
      <c r="D27" s="96">
        <v>286.72000000000003</v>
      </c>
      <c r="E27" s="97">
        <v>118</v>
      </c>
      <c r="F27" s="91" t="s">
        <v>61</v>
      </c>
      <c r="G27" s="92">
        <f>C31/C25</f>
        <v>0.21631205673758866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39</v>
      </c>
      <c r="D29" s="106">
        <v>284.73</v>
      </c>
      <c r="E29" s="107">
        <v>141</v>
      </c>
      <c r="F29" s="91" t="s">
        <v>62</v>
      </c>
      <c r="G29" s="92">
        <f>C33/C25</f>
        <v>3.5460992907801421E-2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61</v>
      </c>
      <c r="D31" s="106">
        <v>281.14999999999998</v>
      </c>
      <c r="E31" s="107">
        <v>155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10</v>
      </c>
      <c r="D33" s="126">
        <v>296.74</v>
      </c>
      <c r="E33" s="111">
        <v>220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222</v>
      </c>
      <c r="D35" s="89">
        <v>346.03</v>
      </c>
      <c r="E35" s="123">
        <v>238</v>
      </c>
      <c r="F35" s="91" t="s">
        <v>60</v>
      </c>
      <c r="G35" s="92">
        <f>1620748/1737900</f>
        <v>0.93258990735945679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20</v>
      </c>
      <c r="D37" s="96">
        <v>349.5</v>
      </c>
      <c r="E37" s="133">
        <v>201</v>
      </c>
      <c r="F37" s="91" t="s">
        <v>61</v>
      </c>
      <c r="G37" s="92">
        <f>C41/C35</f>
        <v>4.954954954954955E-2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16</v>
      </c>
      <c r="D39" s="106">
        <v>337.36</v>
      </c>
      <c r="E39" s="107">
        <v>219</v>
      </c>
      <c r="F39" s="91" t="s">
        <v>62</v>
      </c>
      <c r="G39" s="92">
        <f>C43/C35</f>
        <v>6.3063063063063057E-2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11</v>
      </c>
      <c r="D41" s="106">
        <v>305.39999999999998</v>
      </c>
      <c r="E41" s="107">
        <v>295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14</v>
      </c>
      <c r="D43" s="126">
        <v>350.94</v>
      </c>
      <c r="E43" s="111">
        <v>296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170</v>
      </c>
      <c r="D45" s="89">
        <v>439.23</v>
      </c>
      <c r="E45" s="123">
        <v>254</v>
      </c>
      <c r="F45" s="91" t="s">
        <v>60</v>
      </c>
      <c r="G45" s="92">
        <f>2252862/2438987</f>
        <v>0.92368758013060337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467.48</v>
      </c>
      <c r="E47" s="133">
        <v>181</v>
      </c>
      <c r="F47" s="91" t="s">
        <v>61</v>
      </c>
      <c r="G47" s="92">
        <f>C51/C45</f>
        <v>0.11176470588235295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15</v>
      </c>
      <c r="D49" s="106">
        <v>510.94</v>
      </c>
      <c r="E49" s="107">
        <v>12</v>
      </c>
      <c r="F49" s="91" t="s">
        <v>62</v>
      </c>
      <c r="G49" s="92">
        <f>C53/C45</f>
        <v>2.3529411764705882E-2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19</v>
      </c>
      <c r="D51" s="106">
        <v>410.6</v>
      </c>
      <c r="E51" s="107">
        <v>253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4</v>
      </c>
      <c r="D53" s="110">
        <v>469.85</v>
      </c>
      <c r="E53" s="111">
        <v>287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132</v>
      </c>
      <c r="D55" s="89">
        <v>625.98</v>
      </c>
      <c r="E55" s="123">
        <v>333</v>
      </c>
      <c r="F55" s="91" t="s">
        <v>60</v>
      </c>
      <c r="G55" s="92">
        <f>4413151/4758133</f>
        <v>0.9274963520355568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7</v>
      </c>
      <c r="D57" s="96">
        <v>868.49</v>
      </c>
      <c r="E57" s="133">
        <v>248</v>
      </c>
      <c r="F57" s="91" t="s">
        <v>61</v>
      </c>
      <c r="G57" s="92">
        <f>C61/C55</f>
        <v>0.12121212121212122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7</v>
      </c>
      <c r="D59" s="106">
        <v>489.73</v>
      </c>
      <c r="E59" s="140">
        <v>568</v>
      </c>
      <c r="F59" s="91" t="s">
        <v>62</v>
      </c>
      <c r="G59" s="92">
        <f>C63/C55</f>
        <v>3.0303030303030304E-2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16</v>
      </c>
      <c r="D61" s="106">
        <v>578.89</v>
      </c>
      <c r="E61" s="142">
        <v>267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4</v>
      </c>
      <c r="D63" s="110">
        <v>468.29</v>
      </c>
      <c r="E63" s="111">
        <v>705</v>
      </c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74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E4A78-A277-4F17-B6BA-26A4C35C1F03}">
  <sheetPr codeName="Sheet53"/>
  <dimension ref="A1:J65"/>
  <sheetViews>
    <sheetView view="pageBreakPreview" topLeftCell="A10" zoomScaleNormal="100" zoomScaleSheetLayoutView="100" workbookViewId="0">
      <selection activeCell="E29" sqref="E29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70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2005</v>
      </c>
      <c r="D5" s="89">
        <v>307.82</v>
      </c>
      <c r="E5" s="90">
        <v>170</v>
      </c>
      <c r="F5" s="91" t="s">
        <v>60</v>
      </c>
      <c r="G5" s="92">
        <f>734082/762289</f>
        <v>0.96299697358875702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390</v>
      </c>
      <c r="D7" s="96">
        <v>260.2</v>
      </c>
      <c r="E7" s="97">
        <v>115</v>
      </c>
      <c r="F7" s="91" t="s">
        <v>61</v>
      </c>
      <c r="G7" s="92">
        <f>C11/C5</f>
        <v>0.26084788029925188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340</v>
      </c>
      <c r="D9" s="106">
        <v>261.64999999999998</v>
      </c>
      <c r="E9" s="107">
        <v>99</v>
      </c>
      <c r="F9" s="91" t="s">
        <v>62</v>
      </c>
      <c r="G9" s="92">
        <f>C13/C5</f>
        <v>2.4438902743142144E-2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523</v>
      </c>
      <c r="D11" s="106">
        <v>244.19</v>
      </c>
      <c r="E11" s="107">
        <v>102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49</v>
      </c>
      <c r="D13" s="110">
        <v>285.07</v>
      </c>
      <c r="E13" s="111">
        <v>254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1104</v>
      </c>
      <c r="D15" s="89">
        <v>234.42</v>
      </c>
      <c r="E15" s="90">
        <v>116</v>
      </c>
      <c r="F15" s="91" t="s">
        <v>60</v>
      </c>
      <c r="G15" s="92">
        <f>551820/565082</f>
        <v>0.9765308397719269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309</v>
      </c>
      <c r="D17" s="96">
        <v>231.72</v>
      </c>
      <c r="E17" s="97">
        <v>97</v>
      </c>
      <c r="F17" s="91" t="s">
        <v>61</v>
      </c>
      <c r="G17" s="92">
        <f>C21/C15</f>
        <v>0.39492753623188404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262</v>
      </c>
      <c r="D19" s="106">
        <v>232.11</v>
      </c>
      <c r="E19" s="107">
        <v>76</v>
      </c>
      <c r="F19" s="91" t="s">
        <v>62</v>
      </c>
      <c r="G19" s="92">
        <f>C23/C15</f>
        <v>2.355072463768116E-2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436</v>
      </c>
      <c r="D21" s="106">
        <v>228.03</v>
      </c>
      <c r="E21" s="107">
        <v>81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26</v>
      </c>
      <c r="D23" s="110">
        <v>222.03</v>
      </c>
      <c r="E23" s="111">
        <v>254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306</v>
      </c>
      <c r="D25" s="89">
        <v>298.01</v>
      </c>
      <c r="E25" s="123">
        <v>192</v>
      </c>
      <c r="F25" s="91" t="s">
        <v>60</v>
      </c>
      <c r="G25" s="92">
        <f>1174523/1240122</f>
        <v>0.94710278504856782</v>
      </c>
      <c r="I25" s="124"/>
    </row>
    <row r="26" spans="1:9" ht="6.75" customHeight="1" x14ac:dyDescent="0.35">
      <c r="A26" s="78"/>
      <c r="B26" s="93"/>
      <c r="C26" s="93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49</v>
      </c>
      <c r="D27" s="96">
        <v>281.11</v>
      </c>
      <c r="E27" s="97">
        <v>147</v>
      </c>
      <c r="F27" s="91" t="s">
        <v>61</v>
      </c>
      <c r="G27" s="92">
        <f>C31/C25</f>
        <v>0.17973856209150327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41</v>
      </c>
      <c r="D29" s="106">
        <v>287.82</v>
      </c>
      <c r="E29" s="107">
        <v>152</v>
      </c>
      <c r="F29" s="91" t="s">
        <v>62</v>
      </c>
      <c r="G29" s="92">
        <f>C33/C25</f>
        <v>3.5947712418300651E-2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55</v>
      </c>
      <c r="D31" s="106">
        <v>276.52999999999997</v>
      </c>
      <c r="E31" s="107">
        <v>204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11</v>
      </c>
      <c r="D33" s="126">
        <v>309.60000000000002</v>
      </c>
      <c r="E33" s="111">
        <v>237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252</v>
      </c>
      <c r="D35" s="89">
        <v>351.44</v>
      </c>
      <c r="E35" s="123">
        <v>232</v>
      </c>
      <c r="F35" s="91" t="s">
        <v>60</v>
      </c>
      <c r="G35" s="92">
        <f>1692000/1776839</f>
        <v>0.95225284902008567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12</v>
      </c>
      <c r="D37" s="96">
        <v>311.44</v>
      </c>
      <c r="E37" s="133">
        <v>279</v>
      </c>
      <c r="F37" s="91" t="s">
        <v>61</v>
      </c>
      <c r="G37" s="92">
        <f>C41/C35</f>
        <v>5.9523809523809521E-2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12</v>
      </c>
      <c r="D39" s="106">
        <v>337.84</v>
      </c>
      <c r="E39" s="107">
        <v>187</v>
      </c>
      <c r="F39" s="91" t="s">
        <v>62</v>
      </c>
      <c r="G39" s="92">
        <f>C43/C35</f>
        <v>3.1746031746031744E-2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 s="105">
        <v>15</v>
      </c>
      <c r="D41" s="106">
        <v>342.68</v>
      </c>
      <c r="E41" s="107">
        <v>271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8</v>
      </c>
      <c r="D43" s="126">
        <v>363.64</v>
      </c>
      <c r="E43" s="111">
        <v>268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194</v>
      </c>
      <c r="D45" s="89">
        <v>444.56</v>
      </c>
      <c r="E45" s="123">
        <v>234</v>
      </c>
      <c r="F45" s="91" t="s">
        <v>60</v>
      </c>
      <c r="G45" s="92">
        <f>2373300/2541300</f>
        <v>0.93389210246724119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9</v>
      </c>
      <c r="D47" s="96">
        <v>459.84</v>
      </c>
      <c r="E47" s="133">
        <v>147</v>
      </c>
      <c r="F47" s="91" t="s">
        <v>61</v>
      </c>
      <c r="G47" s="92">
        <f>C51/C45</f>
        <v>5.1546391752577317E-2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18</v>
      </c>
      <c r="D49" s="106">
        <v>456.98</v>
      </c>
      <c r="E49" s="107">
        <v>213</v>
      </c>
      <c r="F49" s="91" t="s">
        <v>62</v>
      </c>
      <c r="G49" s="92">
        <f>C53/C45</f>
        <v>1.0309278350515464E-2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 s="105">
        <v>10</v>
      </c>
      <c r="D51" s="106">
        <v>389.44</v>
      </c>
      <c r="E51" s="107">
        <v>191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2</v>
      </c>
      <c r="D53" s="110">
        <v>458.77</v>
      </c>
      <c r="E53" s="111">
        <v>355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149</v>
      </c>
      <c r="D55" s="89">
        <v>619.94000000000005</v>
      </c>
      <c r="E55" s="123"/>
      <c r="F55" s="91" t="s">
        <v>60</v>
      </c>
      <c r="G55" s="92">
        <f>4231429/4575571</f>
        <v>0.9247870921465321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11</v>
      </c>
      <c r="D57" s="96">
        <v>747.95</v>
      </c>
      <c r="E57" s="133"/>
      <c r="F57" s="91" t="s">
        <v>61</v>
      </c>
      <c r="G57" s="92">
        <f>C61/C55</f>
        <v>4.6979865771812082E-2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7</v>
      </c>
      <c r="D59" s="106">
        <v>581.08000000000004</v>
      </c>
      <c r="E59" s="140"/>
      <c r="F59" s="91" t="s">
        <v>62</v>
      </c>
      <c r="G59" s="92">
        <f>C63/C55</f>
        <v>1.3422818791946308E-2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7</v>
      </c>
      <c r="D61" s="106">
        <v>578</v>
      </c>
      <c r="E61" s="142"/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2</v>
      </c>
      <c r="D63" s="110">
        <v>481.67</v>
      </c>
      <c r="E63" s="111"/>
      <c r="F63" s="112"/>
      <c r="G63" s="113"/>
      <c r="H63" s="137"/>
    </row>
    <row r="64" spans="1:10" ht="15.5" x14ac:dyDescent="0.35">
      <c r="A64" s="101" t="s">
        <v>72</v>
      </c>
    </row>
    <row r="65" spans="1:1" ht="15.5" x14ac:dyDescent="0.35">
      <c r="A65" s="101" t="s">
        <v>71</v>
      </c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1E574-B014-44F1-837D-F8CA9D31F675}">
  <sheetPr codeName="Sheet54"/>
  <dimension ref="A1:J65"/>
  <sheetViews>
    <sheetView workbookViewId="0">
      <selection sqref="A1:XFD1048576"/>
    </sheetView>
  </sheetViews>
  <sheetFormatPr defaultRowHeight="14.5" x14ac:dyDescent="0.35"/>
  <cols>
    <col min="1" max="1" width="34.2695312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53</v>
      </c>
      <c r="B1" s="73"/>
      <c r="C1" s="73"/>
      <c r="D1" s="74"/>
      <c r="E1" s="74"/>
      <c r="F1" s="74"/>
      <c r="G1" s="75"/>
    </row>
    <row r="2" spans="1:7" ht="17.5" x14ac:dyDescent="0.35">
      <c r="A2" s="76" t="s">
        <v>54</v>
      </c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85"/>
      <c r="G4" s="86"/>
    </row>
    <row r="5" spans="1:7" ht="15.5" x14ac:dyDescent="0.35">
      <c r="A5" s="78" t="s">
        <v>1</v>
      </c>
      <c r="B5" s="87" t="s">
        <v>28</v>
      </c>
      <c r="C5" s="88">
        <v>2073</v>
      </c>
      <c r="D5" s="89">
        <v>307.35000000000002</v>
      </c>
      <c r="E5" s="90">
        <v>167</v>
      </c>
      <c r="F5" s="91" t="s">
        <v>60</v>
      </c>
      <c r="G5" s="92">
        <f>732416/766708</f>
        <v>0.9552737156779374</v>
      </c>
    </row>
    <row r="6" spans="1:7" ht="5.25" customHeight="1" x14ac:dyDescent="0.35">
      <c r="A6" s="78"/>
      <c r="B6" s="93"/>
      <c r="C6" s="93"/>
      <c r="D6" s="93"/>
      <c r="E6" s="93"/>
      <c r="F6" s="26"/>
      <c r="G6" s="80"/>
    </row>
    <row r="7" spans="1:7" ht="15.5" x14ac:dyDescent="0.35">
      <c r="A7" s="78"/>
      <c r="B7" s="94" t="s">
        <v>31</v>
      </c>
      <c r="C7" s="95">
        <v>337</v>
      </c>
      <c r="D7" s="96">
        <v>255.74</v>
      </c>
      <c r="E7" s="97">
        <v>121</v>
      </c>
      <c r="F7" s="91" t="s">
        <v>61</v>
      </c>
      <c r="G7" s="92">
        <f>C11/C5</f>
        <v>0.24746743849493488</v>
      </c>
    </row>
    <row r="8" spans="1:7" ht="6" customHeight="1" x14ac:dyDescent="0.35">
      <c r="A8" s="78"/>
      <c r="B8" s="93"/>
      <c r="C8" s="98"/>
      <c r="D8" s="99"/>
      <c r="E8" s="100"/>
      <c r="F8" s="101"/>
      <c r="G8" s="102"/>
    </row>
    <row r="9" spans="1:7" ht="15.5" x14ac:dyDescent="0.35">
      <c r="A9" s="103"/>
      <c r="B9" s="104" t="s">
        <v>32</v>
      </c>
      <c r="C9" s="105">
        <v>356</v>
      </c>
      <c r="D9" s="106">
        <v>254.66</v>
      </c>
      <c r="E9" s="107">
        <v>99</v>
      </c>
      <c r="F9" s="91" t="s">
        <v>62</v>
      </c>
      <c r="G9" s="92">
        <f>C13/C5</f>
        <v>1.929570670525808E-2</v>
      </c>
    </row>
    <row r="10" spans="1:7" ht="6" customHeight="1" x14ac:dyDescent="0.35">
      <c r="A10" s="78"/>
      <c r="B10" s="93"/>
      <c r="C10" s="98"/>
      <c r="D10" s="99"/>
      <c r="E10" s="100"/>
      <c r="G10" s="77"/>
    </row>
    <row r="11" spans="1:7" ht="15.5" x14ac:dyDescent="0.35">
      <c r="A11" s="103"/>
      <c r="B11" s="104" t="s">
        <v>33</v>
      </c>
      <c r="C11" s="105">
        <v>513</v>
      </c>
      <c r="D11" s="106">
        <v>244.15</v>
      </c>
      <c r="E11" s="107">
        <v>109</v>
      </c>
      <c r="G11" s="77"/>
    </row>
    <row r="12" spans="1:7" ht="6" customHeight="1" x14ac:dyDescent="0.35">
      <c r="A12" s="78"/>
      <c r="B12" s="93"/>
      <c r="C12" s="98"/>
      <c r="D12" s="99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40</v>
      </c>
      <c r="D13" s="110">
        <v>277.33999999999997</v>
      </c>
      <c r="E13" s="111">
        <v>234</v>
      </c>
      <c r="F13" s="112"/>
      <c r="G13" s="113"/>
    </row>
    <row r="14" spans="1:7" ht="5.25" customHeight="1" thickBot="1" x14ac:dyDescent="0.4">
      <c r="A14" s="114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1122</v>
      </c>
      <c r="D15" s="89">
        <v>234.5</v>
      </c>
      <c r="E15" s="90">
        <v>119</v>
      </c>
      <c r="F15" s="91" t="s">
        <v>60</v>
      </c>
      <c r="G15" s="92">
        <f>547765/560616</f>
        <v>0.97707700101317119</v>
      </c>
    </row>
    <row r="16" spans="1:7" ht="5.25" customHeight="1" x14ac:dyDescent="0.35">
      <c r="A16" s="78"/>
      <c r="B16" s="93"/>
      <c r="C16" s="93"/>
      <c r="D16" s="93"/>
      <c r="E16" s="93"/>
      <c r="F16" s="26"/>
      <c r="G16" s="80"/>
    </row>
    <row r="17" spans="1:9" ht="15.5" x14ac:dyDescent="0.35">
      <c r="A17" s="78"/>
      <c r="B17" s="94" t="s">
        <v>31</v>
      </c>
      <c r="C17" s="95">
        <v>270</v>
      </c>
      <c r="D17" s="96">
        <v>230.72</v>
      </c>
      <c r="E17" s="97">
        <v>98</v>
      </c>
      <c r="F17" s="91" t="s">
        <v>61</v>
      </c>
      <c r="G17" s="92">
        <f>C21/C15</f>
        <v>0.37433155080213903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274</v>
      </c>
      <c r="D19" s="106">
        <v>234.2</v>
      </c>
      <c r="E19" s="107">
        <v>72</v>
      </c>
      <c r="F19" s="91" t="s">
        <v>62</v>
      </c>
      <c r="G19" s="92">
        <f>C23/C15</f>
        <v>2.2281639928698752E-2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420</v>
      </c>
      <c r="D21" s="106">
        <v>226.05</v>
      </c>
      <c r="E21" s="107">
        <v>93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25</v>
      </c>
      <c r="D23" s="110">
        <v>230.11</v>
      </c>
      <c r="E23" s="111">
        <v>161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343</v>
      </c>
      <c r="D25" s="89">
        <v>291.08</v>
      </c>
      <c r="E25" s="123">
        <v>184</v>
      </c>
      <c r="F25" s="91" t="s">
        <v>60</v>
      </c>
      <c r="G25" s="92">
        <f>1179759/1241366</f>
        <v>0.95037160676222809</v>
      </c>
      <c r="I25" s="124"/>
    </row>
    <row r="26" spans="1:9" ht="6.75" customHeight="1" x14ac:dyDescent="0.35">
      <c r="A26" s="78"/>
      <c r="B26" s="93"/>
      <c r="C26" s="98"/>
      <c r="D26" s="99"/>
      <c r="E26" s="100"/>
      <c r="F26" s="26"/>
      <c r="G26" s="80"/>
      <c r="I26" s="124"/>
    </row>
    <row r="27" spans="1:9" ht="15.5" x14ac:dyDescent="0.35">
      <c r="A27" s="78"/>
      <c r="B27" s="94" t="s">
        <v>31</v>
      </c>
      <c r="C27" s="95">
        <v>41</v>
      </c>
      <c r="D27" s="96">
        <v>303.27</v>
      </c>
      <c r="E27" s="97">
        <v>189</v>
      </c>
      <c r="F27" s="91" t="s">
        <v>61</v>
      </c>
      <c r="G27" s="92">
        <f>C31/C25</f>
        <v>0.16326530612244897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47</v>
      </c>
      <c r="D29" s="106">
        <v>297.14999999999998</v>
      </c>
      <c r="E29" s="107">
        <v>161</v>
      </c>
      <c r="F29" s="91" t="s">
        <v>62</v>
      </c>
      <c r="G29" s="92">
        <f>C33/C25</f>
        <v>2.3323615160349854E-2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>
        <v>56</v>
      </c>
      <c r="D31" s="106">
        <v>278.60000000000002</v>
      </c>
      <c r="E31" s="107">
        <v>151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0" ht="16" thickBot="1" x14ac:dyDescent="0.4">
      <c r="A33" s="103"/>
      <c r="B33" s="125" t="s">
        <v>63</v>
      </c>
      <c r="C33" s="109">
        <v>8</v>
      </c>
      <c r="D33" s="126">
        <v>271.39999999999998</v>
      </c>
      <c r="E33" s="111">
        <v>295</v>
      </c>
      <c r="F33" s="101"/>
      <c r="G33" s="102"/>
    </row>
    <row r="34" spans="1:10" ht="5.25" customHeight="1" thickBot="1" x14ac:dyDescent="0.4">
      <c r="A34" s="85"/>
      <c r="B34" s="127"/>
      <c r="C34" s="128"/>
      <c r="D34" s="129"/>
      <c r="E34" s="130"/>
      <c r="F34" s="131"/>
      <c r="G34" s="132"/>
    </row>
    <row r="35" spans="1:10" ht="15.5" x14ac:dyDescent="0.35">
      <c r="A35" s="122" t="s">
        <v>66</v>
      </c>
      <c r="B35" s="87" t="s">
        <v>28</v>
      </c>
      <c r="C35" s="88">
        <v>247</v>
      </c>
      <c r="D35" s="89">
        <v>349.19</v>
      </c>
      <c r="E35" s="123">
        <v>219</v>
      </c>
      <c r="F35" s="91" t="s">
        <v>60</v>
      </c>
      <c r="G35" s="92">
        <f>1685361/1764383</f>
        <v>0.95521267207856797</v>
      </c>
    </row>
    <row r="36" spans="1:10" ht="6" customHeight="1" x14ac:dyDescent="0.35">
      <c r="A36" s="78"/>
      <c r="B36" s="93"/>
      <c r="C36" s="98"/>
      <c r="D36" s="99"/>
      <c r="E36" s="100"/>
      <c r="F36" s="26"/>
      <c r="G36" s="80"/>
    </row>
    <row r="37" spans="1:10" ht="15.5" x14ac:dyDescent="0.35">
      <c r="A37" s="78"/>
      <c r="B37" s="94" t="s">
        <v>31</v>
      </c>
      <c r="C37" s="95">
        <v>14</v>
      </c>
      <c r="D37" s="96">
        <v>316.27999999999997</v>
      </c>
      <c r="E37" s="133">
        <v>319</v>
      </c>
      <c r="F37" s="91" t="s">
        <v>61</v>
      </c>
      <c r="G37" s="92">
        <f>C41/C35</f>
        <v>7.28744939271255E-2</v>
      </c>
    </row>
    <row r="38" spans="1:10" ht="6" customHeight="1" x14ac:dyDescent="0.35">
      <c r="A38" s="78"/>
      <c r="B38" s="93"/>
      <c r="C38" s="98"/>
      <c r="D38" s="99"/>
      <c r="E38" s="100"/>
      <c r="F38" s="101"/>
      <c r="G38" s="102"/>
    </row>
    <row r="39" spans="1:10" ht="15.5" x14ac:dyDescent="0.35">
      <c r="A39" s="103"/>
      <c r="B39" s="104" t="s">
        <v>32</v>
      </c>
      <c r="C39" s="105">
        <v>15</v>
      </c>
      <c r="D39" s="106">
        <v>383.54</v>
      </c>
      <c r="E39" s="107">
        <v>244</v>
      </c>
      <c r="F39" s="91" t="s">
        <v>62</v>
      </c>
      <c r="G39" s="92">
        <f>C43/C35</f>
        <v>1.2145748987854251E-2</v>
      </c>
      <c r="H39" s="134"/>
      <c r="I39" s="135"/>
      <c r="J39" s="136"/>
    </row>
    <row r="40" spans="1:10" ht="6" customHeight="1" x14ac:dyDescent="0.35">
      <c r="A40" s="78"/>
      <c r="B40" s="93"/>
      <c r="C40" s="98"/>
      <c r="D40" s="99"/>
      <c r="E40" s="100"/>
      <c r="F40" s="101"/>
      <c r="G40" s="102"/>
    </row>
    <row r="41" spans="1:10" ht="15.5" x14ac:dyDescent="0.35">
      <c r="A41" s="103"/>
      <c r="B41" s="104" t="s">
        <v>33</v>
      </c>
      <c r="C41">
        <v>18</v>
      </c>
      <c r="D41" s="106">
        <v>354.7</v>
      </c>
      <c r="E41" s="107">
        <v>255</v>
      </c>
      <c r="F41" s="26"/>
      <c r="G41" s="80"/>
      <c r="H41" s="137"/>
    </row>
    <row r="42" spans="1:10" ht="6" customHeight="1" x14ac:dyDescent="0.35">
      <c r="A42" s="78"/>
      <c r="B42" s="93"/>
      <c r="C42" s="98"/>
      <c r="D42" s="99"/>
      <c r="E42" s="100"/>
      <c r="F42" s="101"/>
      <c r="G42" s="102"/>
    </row>
    <row r="43" spans="1:10" ht="16" thickBot="1" x14ac:dyDescent="0.4">
      <c r="A43" s="120"/>
      <c r="B43" s="108" t="s">
        <v>63</v>
      </c>
      <c r="C43" s="109">
        <v>3</v>
      </c>
      <c r="D43" s="126">
        <v>310.13</v>
      </c>
      <c r="E43" s="111">
        <v>286</v>
      </c>
      <c r="F43" s="101"/>
      <c r="G43" s="102"/>
      <c r="H43" s="137"/>
    </row>
    <row r="44" spans="1:10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0" ht="15.5" x14ac:dyDescent="0.35">
      <c r="A45" s="122" t="s">
        <v>67</v>
      </c>
      <c r="B45" s="87" t="s">
        <v>28</v>
      </c>
      <c r="C45" s="88">
        <v>207</v>
      </c>
      <c r="D45" s="89">
        <v>444.8</v>
      </c>
      <c r="E45" s="123">
        <v>226</v>
      </c>
      <c r="F45" s="91" t="s">
        <v>60</v>
      </c>
      <c r="G45" s="92">
        <f>2314286/2532286</f>
        <v>0.9139117777375857</v>
      </c>
      <c r="H45" s="137"/>
    </row>
    <row r="46" spans="1:10" ht="6" customHeight="1" x14ac:dyDescent="0.35">
      <c r="A46" s="78"/>
      <c r="B46" s="93"/>
      <c r="C46" s="98"/>
      <c r="D46" s="99"/>
      <c r="E46" s="100"/>
      <c r="F46" s="26"/>
      <c r="G46" s="80"/>
      <c r="H46" s="137"/>
    </row>
    <row r="47" spans="1:10" ht="15.5" x14ac:dyDescent="0.35">
      <c r="A47" s="78"/>
      <c r="B47" s="94" t="s">
        <v>31</v>
      </c>
      <c r="C47" s="95">
        <v>8</v>
      </c>
      <c r="D47" s="96">
        <v>407.52</v>
      </c>
      <c r="E47" s="133">
        <v>173</v>
      </c>
      <c r="F47" s="91" t="s">
        <v>61</v>
      </c>
      <c r="G47" s="92">
        <f>C51/C45</f>
        <v>6.7632850241545889E-2</v>
      </c>
      <c r="H47" s="137"/>
    </row>
    <row r="48" spans="1:10" ht="5.25" customHeight="1" x14ac:dyDescent="0.35">
      <c r="A48" s="78"/>
      <c r="B48" s="93"/>
      <c r="C48" s="98"/>
      <c r="D48" s="99"/>
      <c r="E48" s="100"/>
      <c r="F48" s="101"/>
      <c r="G48" s="102"/>
    </row>
    <row r="49" spans="1:10" ht="15.5" x14ac:dyDescent="0.35">
      <c r="A49" s="103"/>
      <c r="B49" s="104" t="s">
        <v>32</v>
      </c>
      <c r="C49" s="105">
        <v>13</v>
      </c>
      <c r="D49" s="106">
        <v>466.67</v>
      </c>
      <c r="E49" s="107">
        <v>227</v>
      </c>
      <c r="F49" s="91" t="s">
        <v>62</v>
      </c>
      <c r="G49" s="92">
        <f>C53/C45</f>
        <v>0</v>
      </c>
      <c r="H49" s="137"/>
    </row>
    <row r="50" spans="1:10" ht="6" customHeight="1" x14ac:dyDescent="0.35">
      <c r="A50" s="78"/>
      <c r="B50" s="93"/>
      <c r="C50" s="98"/>
      <c r="D50" s="99"/>
      <c r="E50" s="100"/>
      <c r="F50" s="101"/>
      <c r="G50" s="102"/>
    </row>
    <row r="51" spans="1:10" ht="15.5" x14ac:dyDescent="0.35">
      <c r="A51" s="103"/>
      <c r="B51" s="104" t="s">
        <v>33</v>
      </c>
      <c r="C51">
        <v>14</v>
      </c>
      <c r="D51" s="106">
        <v>448.89</v>
      </c>
      <c r="E51" s="107">
        <v>198</v>
      </c>
      <c r="F51" s="26"/>
      <c r="G51" s="80"/>
    </row>
    <row r="52" spans="1:10" ht="6" customHeight="1" x14ac:dyDescent="0.35">
      <c r="A52" s="78"/>
      <c r="B52" s="93"/>
      <c r="C52" s="98"/>
      <c r="D52" s="99"/>
      <c r="E52" s="100"/>
      <c r="F52" s="101"/>
      <c r="G52" s="102"/>
    </row>
    <row r="53" spans="1:10" ht="16" thickBot="1" x14ac:dyDescent="0.4">
      <c r="A53" s="120"/>
      <c r="B53" s="108" t="s">
        <v>63</v>
      </c>
      <c r="C53" s="109">
        <v>0</v>
      </c>
      <c r="D53" s="110" t="s">
        <v>30</v>
      </c>
      <c r="E53" s="111" t="s">
        <v>30</v>
      </c>
      <c r="F53" s="112"/>
      <c r="G53" s="113"/>
    </row>
    <row r="54" spans="1:10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0" ht="15.5" x14ac:dyDescent="0.35">
      <c r="A55" s="122" t="s">
        <v>49</v>
      </c>
      <c r="B55" s="87" t="s">
        <v>28</v>
      </c>
      <c r="C55" s="138">
        <v>154</v>
      </c>
      <c r="D55" s="89">
        <v>622.53</v>
      </c>
      <c r="E55" s="123">
        <v>315</v>
      </c>
      <c r="F55" s="91" t="s">
        <v>60</v>
      </c>
      <c r="G55" s="92">
        <f>3373030/4227000</f>
        <v>0.79797255736929262</v>
      </c>
      <c r="H55" s="137"/>
      <c r="J55" s="136"/>
    </row>
    <row r="56" spans="1:10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0" ht="15.5" x14ac:dyDescent="0.35">
      <c r="A57" s="78"/>
      <c r="B57" s="94" t="s">
        <v>31</v>
      </c>
      <c r="C57" s="139">
        <v>4</v>
      </c>
      <c r="D57" s="96">
        <v>941.78</v>
      </c>
      <c r="E57" s="133">
        <v>313</v>
      </c>
      <c r="F57" s="91" t="s">
        <v>61</v>
      </c>
      <c r="G57" s="92">
        <f>C61/C55</f>
        <v>3.2467532467532464E-2</v>
      </c>
      <c r="H57" s="137"/>
      <c r="J57" s="136"/>
    </row>
    <row r="58" spans="1:10" ht="6" customHeight="1" x14ac:dyDescent="0.35">
      <c r="A58" s="78"/>
      <c r="B58" s="93"/>
      <c r="C58" s="98"/>
      <c r="D58" s="99"/>
      <c r="E58" s="100"/>
      <c r="F58" s="101"/>
      <c r="G58" s="102"/>
    </row>
    <row r="59" spans="1:10" ht="15.5" x14ac:dyDescent="0.35">
      <c r="A59" s="103"/>
      <c r="B59" s="104" t="s">
        <v>32</v>
      </c>
      <c r="C59" s="105">
        <v>7</v>
      </c>
      <c r="D59" s="106">
        <v>609.25</v>
      </c>
      <c r="E59" s="140">
        <v>148</v>
      </c>
      <c r="F59" s="91" t="s">
        <v>62</v>
      </c>
      <c r="G59" s="92">
        <f>C63/C55</f>
        <v>2.5974025974025976E-2</v>
      </c>
      <c r="H59" s="137"/>
    </row>
    <row r="60" spans="1:10" ht="6" customHeight="1" x14ac:dyDescent="0.35">
      <c r="A60" s="78"/>
      <c r="B60" s="93"/>
      <c r="C60" s="98"/>
      <c r="D60" s="99"/>
      <c r="E60" s="100"/>
      <c r="F60" s="101"/>
      <c r="G60" s="102"/>
    </row>
    <row r="61" spans="1:10" ht="15.5" x14ac:dyDescent="0.35">
      <c r="A61" s="103"/>
      <c r="B61" s="104" t="s">
        <v>33</v>
      </c>
      <c r="C61" s="141">
        <v>5</v>
      </c>
      <c r="D61" s="106">
        <v>406.98</v>
      </c>
      <c r="E61" s="142">
        <v>182</v>
      </c>
      <c r="F61" s="26"/>
      <c r="G61" s="80"/>
      <c r="H61" s="137"/>
    </row>
    <row r="62" spans="1:10" ht="6" customHeight="1" x14ac:dyDescent="0.35">
      <c r="A62" s="78"/>
      <c r="B62" s="93"/>
      <c r="C62" s="98"/>
      <c r="D62" s="99"/>
      <c r="E62" s="100"/>
      <c r="F62" s="101"/>
      <c r="G62" s="102"/>
    </row>
    <row r="63" spans="1:10" ht="16" thickBot="1" x14ac:dyDescent="0.4">
      <c r="A63" s="120"/>
      <c r="B63" s="108" t="s">
        <v>63</v>
      </c>
      <c r="C63" s="109">
        <v>4</v>
      </c>
      <c r="D63" s="110">
        <v>559.75</v>
      </c>
      <c r="E63" s="111">
        <v>534</v>
      </c>
      <c r="F63" s="112"/>
      <c r="G63" s="113"/>
      <c r="H63" s="137"/>
    </row>
    <row r="64" spans="1:10" ht="15.5" x14ac:dyDescent="0.35">
      <c r="A64" s="101" t="s">
        <v>68</v>
      </c>
    </row>
    <row r="65" spans="1:1" ht="15.5" x14ac:dyDescent="0.35">
      <c r="A65" s="101" t="s">
        <v>69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89BC-73DD-4D99-92DB-884D9ACB7927}">
  <dimension ref="A1:M65"/>
  <sheetViews>
    <sheetView view="pageBreakPreview" zoomScaleNormal="100" zoomScaleSheetLayoutView="100" workbookViewId="0">
      <selection activeCell="R57" sqref="R57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215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1105</v>
      </c>
      <c r="D5" s="89">
        <v>560.4</v>
      </c>
      <c r="E5" s="90">
        <v>96</v>
      </c>
      <c r="F5" s="91" t="s">
        <v>60</v>
      </c>
      <c r="G5" s="92">
        <f>1412210/1472440</f>
        <v>0.95909510744071069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126</v>
      </c>
      <c r="D7" s="167">
        <v>508.3</v>
      </c>
      <c r="E7" s="97">
        <v>73</v>
      </c>
      <c r="F7" s="91" t="s">
        <v>61</v>
      </c>
      <c r="G7" s="92">
        <f>C11/C5</f>
        <v>0.24886877828054299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179</v>
      </c>
      <c r="D9" s="169">
        <v>524.29999999999995</v>
      </c>
      <c r="E9" s="107">
        <v>85</v>
      </c>
      <c r="F9" s="91" t="s">
        <v>62</v>
      </c>
      <c r="G9" s="92">
        <f>C13/C5</f>
        <v>1.5384615384615385E-2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275</v>
      </c>
      <c r="D11" s="169">
        <v>456.04</v>
      </c>
      <c r="E11" s="107">
        <v>59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17</v>
      </c>
      <c r="D13" s="170">
        <v>556.76</v>
      </c>
      <c r="E13" s="111">
        <v>122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325</v>
      </c>
      <c r="D15" s="89">
        <v>396.14</v>
      </c>
      <c r="E15" s="90">
        <v>84</v>
      </c>
      <c r="F15" s="91" t="s">
        <v>60</v>
      </c>
      <c r="G15" s="92">
        <f>745897/764058</f>
        <v>0.97623086205497489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56</v>
      </c>
      <c r="D17" s="96">
        <v>403.49</v>
      </c>
      <c r="E17" s="97">
        <v>68</v>
      </c>
      <c r="F17" s="91" t="s">
        <v>61</v>
      </c>
      <c r="G17" s="92">
        <f>C21/C15</f>
        <v>0.38769230769230767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80</v>
      </c>
      <c r="D19" s="106">
        <v>380.81</v>
      </c>
      <c r="E19" s="107">
        <v>69</v>
      </c>
      <c r="F19" s="91" t="s">
        <v>62</v>
      </c>
      <c r="G19" s="92">
        <f>C23/C15</f>
        <v>2.1538461538461538E-2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126</v>
      </c>
      <c r="D21" s="106">
        <v>381.81</v>
      </c>
      <c r="E21" s="107">
        <v>55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7</v>
      </c>
      <c r="D23" s="110">
        <v>398.36</v>
      </c>
      <c r="E23" s="111">
        <v>123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228</v>
      </c>
      <c r="D25" s="96">
        <v>452.73</v>
      </c>
      <c r="E25" s="90">
        <v>74</v>
      </c>
      <c r="F25" s="91" t="s">
        <v>60</v>
      </c>
      <c r="G25" s="92">
        <f>1208286/1250773</f>
        <v>0.96603140617841932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24</v>
      </c>
      <c r="D27" s="106">
        <v>465.55</v>
      </c>
      <c r="E27" s="97">
        <v>76</v>
      </c>
      <c r="F27" s="91" t="s">
        <v>61</v>
      </c>
      <c r="G27" s="92">
        <f>C31/C25</f>
        <v>0.31140350877192985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18</v>
      </c>
      <c r="D29" s="96">
        <v>443.36</v>
      </c>
      <c r="E29" s="107">
        <v>36</v>
      </c>
      <c r="F29" s="91" t="s">
        <v>62</v>
      </c>
      <c r="G29" s="92">
        <f>C33/C25</f>
        <v>4.3859649122807015E-3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71</v>
      </c>
      <c r="D31" s="106">
        <v>441.41</v>
      </c>
      <c r="E31" s="107">
        <v>42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1</v>
      </c>
      <c r="D33" s="110">
        <v>578.54999999999995</v>
      </c>
      <c r="E33" s="111">
        <v>67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158</v>
      </c>
      <c r="D35" s="96">
        <v>515.41999999999996</v>
      </c>
      <c r="E35" s="90">
        <v>74</v>
      </c>
      <c r="F35" s="91" t="s">
        <v>60</v>
      </c>
      <c r="G35" s="92">
        <f>1671984/1704315</f>
        <v>0.98102991524454108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20</v>
      </c>
      <c r="D37" s="106">
        <v>529.88</v>
      </c>
      <c r="E37" s="97">
        <v>56</v>
      </c>
      <c r="F37" s="91" t="s">
        <v>61</v>
      </c>
      <c r="G37" s="92">
        <f>C41/C35</f>
        <v>0.189873417721519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25</v>
      </c>
      <c r="D39" s="96">
        <v>556.89</v>
      </c>
      <c r="E39" s="107">
        <v>75</v>
      </c>
      <c r="F39" s="91" t="s">
        <v>62</v>
      </c>
      <c r="G39" s="92">
        <f>C43/C35</f>
        <v>6.3291139240506328E-3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30</v>
      </c>
      <c r="D41" s="106">
        <v>491.88</v>
      </c>
      <c r="E41" s="107">
        <v>83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1</v>
      </c>
      <c r="D43" s="110">
        <v>626.26</v>
      </c>
      <c r="E43" s="111">
        <v>126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173</v>
      </c>
      <c r="D45" s="96">
        <v>609.88</v>
      </c>
      <c r="E45" s="90">
        <v>87</v>
      </c>
      <c r="F45" s="91" t="s">
        <v>60</v>
      </c>
      <c r="G45" s="92">
        <f>2286309/2378575</f>
        <v>0.96120954773341183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9</v>
      </c>
      <c r="D47" s="106">
        <v>613.9</v>
      </c>
      <c r="E47" s="97">
        <v>131</v>
      </c>
      <c r="F47" s="91" t="s">
        <v>61</v>
      </c>
      <c r="G47" s="92">
        <f>C51/C45</f>
        <v>0.18497109826589594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22</v>
      </c>
      <c r="D49" s="96">
        <v>635.04</v>
      </c>
      <c r="E49" s="107">
        <v>109</v>
      </c>
      <c r="F49" s="91" t="s">
        <v>62</v>
      </c>
      <c r="G49" s="92">
        <f>C53/C45</f>
        <v>2.3121387283236993E-2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32</v>
      </c>
      <c r="D51" s="106">
        <v>561.91</v>
      </c>
      <c r="E51" s="107">
        <v>70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4</v>
      </c>
      <c r="D53" s="110">
        <v>570.39</v>
      </c>
      <c r="E53" s="111">
        <v>144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221</v>
      </c>
      <c r="D55" s="89">
        <v>906.47</v>
      </c>
      <c r="E55" s="123">
        <v>161</v>
      </c>
      <c r="F55" s="91" t="s">
        <v>60</v>
      </c>
      <c r="G55" s="164">
        <f>5329062/5787562</f>
        <v>0.92077838647776045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17</v>
      </c>
      <c r="D57" s="96">
        <v>832.57</v>
      </c>
      <c r="E57" s="133">
        <v>79</v>
      </c>
      <c r="F57" s="91" t="s">
        <v>61</v>
      </c>
      <c r="G57" s="92">
        <f>C61/C55</f>
        <v>7.2398190045248875E-2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34</v>
      </c>
      <c r="D59" s="106">
        <v>809.15</v>
      </c>
      <c r="E59" s="107">
        <v>137</v>
      </c>
      <c r="F59" s="91" t="s">
        <v>62</v>
      </c>
      <c r="G59" s="92">
        <f>C63/C55</f>
        <v>1.8099547511312219E-2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16</v>
      </c>
      <c r="D61" s="106">
        <v>826.51</v>
      </c>
      <c r="E61" s="107">
        <v>111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4</v>
      </c>
      <c r="D63" s="110">
        <v>797.49</v>
      </c>
      <c r="E63" s="111">
        <v>112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216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7AA7-AA2A-4AA6-A46F-5200B7AD8329}">
  <dimension ref="A1:M65"/>
  <sheetViews>
    <sheetView view="pageBreakPreview" zoomScaleNormal="100" zoomScaleSheetLayoutView="100" workbookViewId="0">
      <selection activeCell="G56" sqref="G56"/>
    </sheetView>
  </sheetViews>
  <sheetFormatPr defaultRowHeight="14.5" x14ac:dyDescent="0.35"/>
  <cols>
    <col min="1" max="1" width="34.54296875" customWidth="1"/>
    <col min="2" max="2" width="11.453125" customWidth="1"/>
    <col min="3" max="3" width="13.54296875" customWidth="1"/>
    <col min="4" max="4" width="16.453125" customWidth="1"/>
    <col min="5" max="5" width="14.1796875" customWidth="1"/>
    <col min="6" max="6" width="28" customWidth="1"/>
    <col min="7" max="7" width="13.54296875" customWidth="1"/>
    <col min="8" max="8" width="18.7265625" customWidth="1"/>
    <col min="9" max="9" width="16.81640625" customWidth="1"/>
    <col min="257" max="257" width="34.26953125" customWidth="1"/>
    <col min="258" max="258" width="11.453125" customWidth="1"/>
    <col min="259" max="259" width="13.54296875" customWidth="1"/>
    <col min="260" max="260" width="16.453125" customWidth="1"/>
    <col min="261" max="261" width="14.1796875" customWidth="1"/>
    <col min="262" max="262" width="28" customWidth="1"/>
    <col min="263" max="263" width="13.54296875" customWidth="1"/>
    <col min="264" max="264" width="18.7265625" customWidth="1"/>
    <col min="265" max="265" width="16.81640625" customWidth="1"/>
    <col min="513" max="513" width="34.26953125" customWidth="1"/>
    <col min="514" max="514" width="11.453125" customWidth="1"/>
    <col min="515" max="515" width="13.54296875" customWidth="1"/>
    <col min="516" max="516" width="16.453125" customWidth="1"/>
    <col min="517" max="517" width="14.1796875" customWidth="1"/>
    <col min="518" max="518" width="28" customWidth="1"/>
    <col min="519" max="519" width="13.54296875" customWidth="1"/>
    <col min="520" max="520" width="18.7265625" customWidth="1"/>
    <col min="521" max="521" width="16.81640625" customWidth="1"/>
    <col min="769" max="769" width="34.26953125" customWidth="1"/>
    <col min="770" max="770" width="11.453125" customWidth="1"/>
    <col min="771" max="771" width="13.54296875" customWidth="1"/>
    <col min="772" max="772" width="16.453125" customWidth="1"/>
    <col min="773" max="773" width="14.1796875" customWidth="1"/>
    <col min="774" max="774" width="28" customWidth="1"/>
    <col min="775" max="775" width="13.54296875" customWidth="1"/>
    <col min="776" max="776" width="18.7265625" customWidth="1"/>
    <col min="777" max="777" width="16.81640625" customWidth="1"/>
    <col min="1025" max="1025" width="34.26953125" customWidth="1"/>
    <col min="1026" max="1026" width="11.453125" customWidth="1"/>
    <col min="1027" max="1027" width="13.54296875" customWidth="1"/>
    <col min="1028" max="1028" width="16.453125" customWidth="1"/>
    <col min="1029" max="1029" width="14.1796875" customWidth="1"/>
    <col min="1030" max="1030" width="28" customWidth="1"/>
    <col min="1031" max="1031" width="13.54296875" customWidth="1"/>
    <col min="1032" max="1032" width="18.7265625" customWidth="1"/>
    <col min="1033" max="1033" width="16.81640625" customWidth="1"/>
    <col min="1281" max="1281" width="34.26953125" customWidth="1"/>
    <col min="1282" max="1282" width="11.453125" customWidth="1"/>
    <col min="1283" max="1283" width="13.54296875" customWidth="1"/>
    <col min="1284" max="1284" width="16.453125" customWidth="1"/>
    <col min="1285" max="1285" width="14.1796875" customWidth="1"/>
    <col min="1286" max="1286" width="28" customWidth="1"/>
    <col min="1287" max="1287" width="13.54296875" customWidth="1"/>
    <col min="1288" max="1288" width="18.7265625" customWidth="1"/>
    <col min="1289" max="1289" width="16.81640625" customWidth="1"/>
    <col min="1537" max="1537" width="34.26953125" customWidth="1"/>
    <col min="1538" max="1538" width="11.453125" customWidth="1"/>
    <col min="1539" max="1539" width="13.54296875" customWidth="1"/>
    <col min="1540" max="1540" width="16.453125" customWidth="1"/>
    <col min="1541" max="1541" width="14.1796875" customWidth="1"/>
    <col min="1542" max="1542" width="28" customWidth="1"/>
    <col min="1543" max="1543" width="13.54296875" customWidth="1"/>
    <col min="1544" max="1544" width="18.7265625" customWidth="1"/>
    <col min="1545" max="1545" width="16.81640625" customWidth="1"/>
    <col min="1793" max="1793" width="34.26953125" customWidth="1"/>
    <col min="1794" max="1794" width="11.453125" customWidth="1"/>
    <col min="1795" max="1795" width="13.54296875" customWidth="1"/>
    <col min="1796" max="1796" width="16.453125" customWidth="1"/>
    <col min="1797" max="1797" width="14.1796875" customWidth="1"/>
    <col min="1798" max="1798" width="28" customWidth="1"/>
    <col min="1799" max="1799" width="13.54296875" customWidth="1"/>
    <col min="1800" max="1800" width="18.7265625" customWidth="1"/>
    <col min="1801" max="1801" width="16.81640625" customWidth="1"/>
    <col min="2049" max="2049" width="34.26953125" customWidth="1"/>
    <col min="2050" max="2050" width="11.453125" customWidth="1"/>
    <col min="2051" max="2051" width="13.54296875" customWidth="1"/>
    <col min="2052" max="2052" width="16.453125" customWidth="1"/>
    <col min="2053" max="2053" width="14.1796875" customWidth="1"/>
    <col min="2054" max="2054" width="28" customWidth="1"/>
    <col min="2055" max="2055" width="13.54296875" customWidth="1"/>
    <col min="2056" max="2056" width="18.7265625" customWidth="1"/>
    <col min="2057" max="2057" width="16.81640625" customWidth="1"/>
    <col min="2305" max="2305" width="34.26953125" customWidth="1"/>
    <col min="2306" max="2306" width="11.453125" customWidth="1"/>
    <col min="2307" max="2307" width="13.54296875" customWidth="1"/>
    <col min="2308" max="2308" width="16.453125" customWidth="1"/>
    <col min="2309" max="2309" width="14.1796875" customWidth="1"/>
    <col min="2310" max="2310" width="28" customWidth="1"/>
    <col min="2311" max="2311" width="13.54296875" customWidth="1"/>
    <col min="2312" max="2312" width="18.7265625" customWidth="1"/>
    <col min="2313" max="2313" width="16.81640625" customWidth="1"/>
    <col min="2561" max="2561" width="34.26953125" customWidth="1"/>
    <col min="2562" max="2562" width="11.453125" customWidth="1"/>
    <col min="2563" max="2563" width="13.54296875" customWidth="1"/>
    <col min="2564" max="2564" width="16.453125" customWidth="1"/>
    <col min="2565" max="2565" width="14.1796875" customWidth="1"/>
    <col min="2566" max="2566" width="28" customWidth="1"/>
    <col min="2567" max="2567" width="13.54296875" customWidth="1"/>
    <col min="2568" max="2568" width="18.7265625" customWidth="1"/>
    <col min="2569" max="2569" width="16.81640625" customWidth="1"/>
    <col min="2817" max="2817" width="34.26953125" customWidth="1"/>
    <col min="2818" max="2818" width="11.453125" customWidth="1"/>
    <col min="2819" max="2819" width="13.54296875" customWidth="1"/>
    <col min="2820" max="2820" width="16.453125" customWidth="1"/>
    <col min="2821" max="2821" width="14.1796875" customWidth="1"/>
    <col min="2822" max="2822" width="28" customWidth="1"/>
    <col min="2823" max="2823" width="13.54296875" customWidth="1"/>
    <col min="2824" max="2824" width="18.7265625" customWidth="1"/>
    <col min="2825" max="2825" width="16.81640625" customWidth="1"/>
    <col min="3073" max="3073" width="34.26953125" customWidth="1"/>
    <col min="3074" max="3074" width="11.453125" customWidth="1"/>
    <col min="3075" max="3075" width="13.54296875" customWidth="1"/>
    <col min="3076" max="3076" width="16.453125" customWidth="1"/>
    <col min="3077" max="3077" width="14.1796875" customWidth="1"/>
    <col min="3078" max="3078" width="28" customWidth="1"/>
    <col min="3079" max="3079" width="13.54296875" customWidth="1"/>
    <col min="3080" max="3080" width="18.7265625" customWidth="1"/>
    <col min="3081" max="3081" width="16.81640625" customWidth="1"/>
    <col min="3329" max="3329" width="34.26953125" customWidth="1"/>
    <col min="3330" max="3330" width="11.453125" customWidth="1"/>
    <col min="3331" max="3331" width="13.54296875" customWidth="1"/>
    <col min="3332" max="3332" width="16.453125" customWidth="1"/>
    <col min="3333" max="3333" width="14.1796875" customWidth="1"/>
    <col min="3334" max="3334" width="28" customWidth="1"/>
    <col min="3335" max="3335" width="13.54296875" customWidth="1"/>
    <col min="3336" max="3336" width="18.7265625" customWidth="1"/>
    <col min="3337" max="3337" width="16.81640625" customWidth="1"/>
    <col min="3585" max="3585" width="34.26953125" customWidth="1"/>
    <col min="3586" max="3586" width="11.453125" customWidth="1"/>
    <col min="3587" max="3587" width="13.54296875" customWidth="1"/>
    <col min="3588" max="3588" width="16.453125" customWidth="1"/>
    <col min="3589" max="3589" width="14.1796875" customWidth="1"/>
    <col min="3590" max="3590" width="28" customWidth="1"/>
    <col min="3591" max="3591" width="13.54296875" customWidth="1"/>
    <col min="3592" max="3592" width="18.7265625" customWidth="1"/>
    <col min="3593" max="3593" width="16.81640625" customWidth="1"/>
    <col min="3841" max="3841" width="34.26953125" customWidth="1"/>
    <col min="3842" max="3842" width="11.453125" customWidth="1"/>
    <col min="3843" max="3843" width="13.54296875" customWidth="1"/>
    <col min="3844" max="3844" width="16.453125" customWidth="1"/>
    <col min="3845" max="3845" width="14.1796875" customWidth="1"/>
    <col min="3846" max="3846" width="28" customWidth="1"/>
    <col min="3847" max="3847" width="13.54296875" customWidth="1"/>
    <col min="3848" max="3848" width="18.7265625" customWidth="1"/>
    <col min="3849" max="3849" width="16.81640625" customWidth="1"/>
    <col min="4097" max="4097" width="34.26953125" customWidth="1"/>
    <col min="4098" max="4098" width="11.453125" customWidth="1"/>
    <col min="4099" max="4099" width="13.54296875" customWidth="1"/>
    <col min="4100" max="4100" width="16.453125" customWidth="1"/>
    <col min="4101" max="4101" width="14.1796875" customWidth="1"/>
    <col min="4102" max="4102" width="28" customWidth="1"/>
    <col min="4103" max="4103" width="13.54296875" customWidth="1"/>
    <col min="4104" max="4104" width="18.7265625" customWidth="1"/>
    <col min="4105" max="4105" width="16.81640625" customWidth="1"/>
    <col min="4353" max="4353" width="34.26953125" customWidth="1"/>
    <col min="4354" max="4354" width="11.453125" customWidth="1"/>
    <col min="4355" max="4355" width="13.54296875" customWidth="1"/>
    <col min="4356" max="4356" width="16.453125" customWidth="1"/>
    <col min="4357" max="4357" width="14.1796875" customWidth="1"/>
    <col min="4358" max="4358" width="28" customWidth="1"/>
    <col min="4359" max="4359" width="13.54296875" customWidth="1"/>
    <col min="4360" max="4360" width="18.7265625" customWidth="1"/>
    <col min="4361" max="4361" width="16.81640625" customWidth="1"/>
    <col min="4609" max="4609" width="34.26953125" customWidth="1"/>
    <col min="4610" max="4610" width="11.453125" customWidth="1"/>
    <col min="4611" max="4611" width="13.54296875" customWidth="1"/>
    <col min="4612" max="4612" width="16.453125" customWidth="1"/>
    <col min="4613" max="4613" width="14.1796875" customWidth="1"/>
    <col min="4614" max="4614" width="28" customWidth="1"/>
    <col min="4615" max="4615" width="13.54296875" customWidth="1"/>
    <col min="4616" max="4616" width="18.7265625" customWidth="1"/>
    <col min="4617" max="4617" width="16.81640625" customWidth="1"/>
    <col min="4865" max="4865" width="34.26953125" customWidth="1"/>
    <col min="4866" max="4866" width="11.453125" customWidth="1"/>
    <col min="4867" max="4867" width="13.54296875" customWidth="1"/>
    <col min="4868" max="4868" width="16.453125" customWidth="1"/>
    <col min="4869" max="4869" width="14.1796875" customWidth="1"/>
    <col min="4870" max="4870" width="28" customWidth="1"/>
    <col min="4871" max="4871" width="13.54296875" customWidth="1"/>
    <col min="4872" max="4872" width="18.7265625" customWidth="1"/>
    <col min="4873" max="4873" width="16.81640625" customWidth="1"/>
    <col min="5121" max="5121" width="34.26953125" customWidth="1"/>
    <col min="5122" max="5122" width="11.453125" customWidth="1"/>
    <col min="5123" max="5123" width="13.54296875" customWidth="1"/>
    <col min="5124" max="5124" width="16.453125" customWidth="1"/>
    <col min="5125" max="5125" width="14.1796875" customWidth="1"/>
    <col min="5126" max="5126" width="28" customWidth="1"/>
    <col min="5127" max="5127" width="13.54296875" customWidth="1"/>
    <col min="5128" max="5128" width="18.7265625" customWidth="1"/>
    <col min="5129" max="5129" width="16.81640625" customWidth="1"/>
    <col min="5377" max="5377" width="34.26953125" customWidth="1"/>
    <col min="5378" max="5378" width="11.453125" customWidth="1"/>
    <col min="5379" max="5379" width="13.54296875" customWidth="1"/>
    <col min="5380" max="5380" width="16.453125" customWidth="1"/>
    <col min="5381" max="5381" width="14.1796875" customWidth="1"/>
    <col min="5382" max="5382" width="28" customWidth="1"/>
    <col min="5383" max="5383" width="13.54296875" customWidth="1"/>
    <col min="5384" max="5384" width="18.7265625" customWidth="1"/>
    <col min="5385" max="5385" width="16.81640625" customWidth="1"/>
    <col min="5633" max="5633" width="34.26953125" customWidth="1"/>
    <col min="5634" max="5634" width="11.453125" customWidth="1"/>
    <col min="5635" max="5635" width="13.54296875" customWidth="1"/>
    <col min="5636" max="5636" width="16.453125" customWidth="1"/>
    <col min="5637" max="5637" width="14.1796875" customWidth="1"/>
    <col min="5638" max="5638" width="28" customWidth="1"/>
    <col min="5639" max="5639" width="13.54296875" customWidth="1"/>
    <col min="5640" max="5640" width="18.7265625" customWidth="1"/>
    <col min="5641" max="5641" width="16.81640625" customWidth="1"/>
    <col min="5889" max="5889" width="34.26953125" customWidth="1"/>
    <col min="5890" max="5890" width="11.453125" customWidth="1"/>
    <col min="5891" max="5891" width="13.54296875" customWidth="1"/>
    <col min="5892" max="5892" width="16.453125" customWidth="1"/>
    <col min="5893" max="5893" width="14.1796875" customWidth="1"/>
    <col min="5894" max="5894" width="28" customWidth="1"/>
    <col min="5895" max="5895" width="13.54296875" customWidth="1"/>
    <col min="5896" max="5896" width="18.7265625" customWidth="1"/>
    <col min="5897" max="5897" width="16.81640625" customWidth="1"/>
    <col min="6145" max="6145" width="34.26953125" customWidth="1"/>
    <col min="6146" max="6146" width="11.453125" customWidth="1"/>
    <col min="6147" max="6147" width="13.54296875" customWidth="1"/>
    <col min="6148" max="6148" width="16.453125" customWidth="1"/>
    <col min="6149" max="6149" width="14.1796875" customWidth="1"/>
    <col min="6150" max="6150" width="28" customWidth="1"/>
    <col min="6151" max="6151" width="13.54296875" customWidth="1"/>
    <col min="6152" max="6152" width="18.7265625" customWidth="1"/>
    <col min="6153" max="6153" width="16.81640625" customWidth="1"/>
    <col min="6401" max="6401" width="34.26953125" customWidth="1"/>
    <col min="6402" max="6402" width="11.453125" customWidth="1"/>
    <col min="6403" max="6403" width="13.54296875" customWidth="1"/>
    <col min="6404" max="6404" width="16.453125" customWidth="1"/>
    <col min="6405" max="6405" width="14.1796875" customWidth="1"/>
    <col min="6406" max="6406" width="28" customWidth="1"/>
    <col min="6407" max="6407" width="13.54296875" customWidth="1"/>
    <col min="6408" max="6408" width="18.7265625" customWidth="1"/>
    <col min="6409" max="6409" width="16.81640625" customWidth="1"/>
    <col min="6657" max="6657" width="34.26953125" customWidth="1"/>
    <col min="6658" max="6658" width="11.453125" customWidth="1"/>
    <col min="6659" max="6659" width="13.54296875" customWidth="1"/>
    <col min="6660" max="6660" width="16.453125" customWidth="1"/>
    <col min="6661" max="6661" width="14.1796875" customWidth="1"/>
    <col min="6662" max="6662" width="28" customWidth="1"/>
    <col min="6663" max="6663" width="13.54296875" customWidth="1"/>
    <col min="6664" max="6664" width="18.7265625" customWidth="1"/>
    <col min="6665" max="6665" width="16.81640625" customWidth="1"/>
    <col min="6913" max="6913" width="34.26953125" customWidth="1"/>
    <col min="6914" max="6914" width="11.453125" customWidth="1"/>
    <col min="6915" max="6915" width="13.54296875" customWidth="1"/>
    <col min="6916" max="6916" width="16.453125" customWidth="1"/>
    <col min="6917" max="6917" width="14.1796875" customWidth="1"/>
    <col min="6918" max="6918" width="28" customWidth="1"/>
    <col min="6919" max="6919" width="13.54296875" customWidth="1"/>
    <col min="6920" max="6920" width="18.7265625" customWidth="1"/>
    <col min="6921" max="6921" width="16.81640625" customWidth="1"/>
    <col min="7169" max="7169" width="34.26953125" customWidth="1"/>
    <col min="7170" max="7170" width="11.453125" customWidth="1"/>
    <col min="7171" max="7171" width="13.54296875" customWidth="1"/>
    <col min="7172" max="7172" width="16.453125" customWidth="1"/>
    <col min="7173" max="7173" width="14.1796875" customWidth="1"/>
    <col min="7174" max="7174" width="28" customWidth="1"/>
    <col min="7175" max="7175" width="13.54296875" customWidth="1"/>
    <col min="7176" max="7176" width="18.7265625" customWidth="1"/>
    <col min="7177" max="7177" width="16.81640625" customWidth="1"/>
    <col min="7425" max="7425" width="34.26953125" customWidth="1"/>
    <col min="7426" max="7426" width="11.453125" customWidth="1"/>
    <col min="7427" max="7427" width="13.54296875" customWidth="1"/>
    <col min="7428" max="7428" width="16.453125" customWidth="1"/>
    <col min="7429" max="7429" width="14.1796875" customWidth="1"/>
    <col min="7430" max="7430" width="28" customWidth="1"/>
    <col min="7431" max="7431" width="13.54296875" customWidth="1"/>
    <col min="7432" max="7432" width="18.7265625" customWidth="1"/>
    <col min="7433" max="7433" width="16.81640625" customWidth="1"/>
    <col min="7681" max="7681" width="34.26953125" customWidth="1"/>
    <col min="7682" max="7682" width="11.453125" customWidth="1"/>
    <col min="7683" max="7683" width="13.54296875" customWidth="1"/>
    <col min="7684" max="7684" width="16.453125" customWidth="1"/>
    <col min="7685" max="7685" width="14.1796875" customWidth="1"/>
    <col min="7686" max="7686" width="28" customWidth="1"/>
    <col min="7687" max="7687" width="13.54296875" customWidth="1"/>
    <col min="7688" max="7688" width="18.7265625" customWidth="1"/>
    <col min="7689" max="7689" width="16.81640625" customWidth="1"/>
    <col min="7937" max="7937" width="34.26953125" customWidth="1"/>
    <col min="7938" max="7938" width="11.453125" customWidth="1"/>
    <col min="7939" max="7939" width="13.54296875" customWidth="1"/>
    <col min="7940" max="7940" width="16.453125" customWidth="1"/>
    <col min="7941" max="7941" width="14.1796875" customWidth="1"/>
    <col min="7942" max="7942" width="28" customWidth="1"/>
    <col min="7943" max="7943" width="13.54296875" customWidth="1"/>
    <col min="7944" max="7944" width="18.7265625" customWidth="1"/>
    <col min="7945" max="7945" width="16.81640625" customWidth="1"/>
    <col min="8193" max="8193" width="34.26953125" customWidth="1"/>
    <col min="8194" max="8194" width="11.453125" customWidth="1"/>
    <col min="8195" max="8195" width="13.54296875" customWidth="1"/>
    <col min="8196" max="8196" width="16.453125" customWidth="1"/>
    <col min="8197" max="8197" width="14.1796875" customWidth="1"/>
    <col min="8198" max="8198" width="28" customWidth="1"/>
    <col min="8199" max="8199" width="13.54296875" customWidth="1"/>
    <col min="8200" max="8200" width="18.7265625" customWidth="1"/>
    <col min="8201" max="8201" width="16.81640625" customWidth="1"/>
    <col min="8449" max="8449" width="34.26953125" customWidth="1"/>
    <col min="8450" max="8450" width="11.453125" customWidth="1"/>
    <col min="8451" max="8451" width="13.54296875" customWidth="1"/>
    <col min="8452" max="8452" width="16.453125" customWidth="1"/>
    <col min="8453" max="8453" width="14.1796875" customWidth="1"/>
    <col min="8454" max="8454" width="28" customWidth="1"/>
    <col min="8455" max="8455" width="13.54296875" customWidth="1"/>
    <col min="8456" max="8456" width="18.7265625" customWidth="1"/>
    <col min="8457" max="8457" width="16.81640625" customWidth="1"/>
    <col min="8705" max="8705" width="34.26953125" customWidth="1"/>
    <col min="8706" max="8706" width="11.453125" customWidth="1"/>
    <col min="8707" max="8707" width="13.54296875" customWidth="1"/>
    <col min="8708" max="8708" width="16.453125" customWidth="1"/>
    <col min="8709" max="8709" width="14.1796875" customWidth="1"/>
    <col min="8710" max="8710" width="28" customWidth="1"/>
    <col min="8711" max="8711" width="13.54296875" customWidth="1"/>
    <col min="8712" max="8712" width="18.7265625" customWidth="1"/>
    <col min="8713" max="8713" width="16.81640625" customWidth="1"/>
    <col min="8961" max="8961" width="34.26953125" customWidth="1"/>
    <col min="8962" max="8962" width="11.453125" customWidth="1"/>
    <col min="8963" max="8963" width="13.54296875" customWidth="1"/>
    <col min="8964" max="8964" width="16.453125" customWidth="1"/>
    <col min="8965" max="8965" width="14.1796875" customWidth="1"/>
    <col min="8966" max="8966" width="28" customWidth="1"/>
    <col min="8967" max="8967" width="13.54296875" customWidth="1"/>
    <col min="8968" max="8968" width="18.7265625" customWidth="1"/>
    <col min="8969" max="8969" width="16.81640625" customWidth="1"/>
    <col min="9217" max="9217" width="34.26953125" customWidth="1"/>
    <col min="9218" max="9218" width="11.453125" customWidth="1"/>
    <col min="9219" max="9219" width="13.54296875" customWidth="1"/>
    <col min="9220" max="9220" width="16.453125" customWidth="1"/>
    <col min="9221" max="9221" width="14.1796875" customWidth="1"/>
    <col min="9222" max="9222" width="28" customWidth="1"/>
    <col min="9223" max="9223" width="13.54296875" customWidth="1"/>
    <col min="9224" max="9224" width="18.7265625" customWidth="1"/>
    <col min="9225" max="9225" width="16.81640625" customWidth="1"/>
    <col min="9473" max="9473" width="34.26953125" customWidth="1"/>
    <col min="9474" max="9474" width="11.453125" customWidth="1"/>
    <col min="9475" max="9475" width="13.54296875" customWidth="1"/>
    <col min="9476" max="9476" width="16.453125" customWidth="1"/>
    <col min="9477" max="9477" width="14.1796875" customWidth="1"/>
    <col min="9478" max="9478" width="28" customWidth="1"/>
    <col min="9479" max="9479" width="13.54296875" customWidth="1"/>
    <col min="9480" max="9480" width="18.7265625" customWidth="1"/>
    <col min="9481" max="9481" width="16.81640625" customWidth="1"/>
    <col min="9729" max="9729" width="34.26953125" customWidth="1"/>
    <col min="9730" max="9730" width="11.453125" customWidth="1"/>
    <col min="9731" max="9731" width="13.54296875" customWidth="1"/>
    <col min="9732" max="9732" width="16.453125" customWidth="1"/>
    <col min="9733" max="9733" width="14.1796875" customWidth="1"/>
    <col min="9734" max="9734" width="28" customWidth="1"/>
    <col min="9735" max="9735" width="13.54296875" customWidth="1"/>
    <col min="9736" max="9736" width="18.7265625" customWidth="1"/>
    <col min="9737" max="9737" width="16.81640625" customWidth="1"/>
    <col min="9985" max="9985" width="34.26953125" customWidth="1"/>
    <col min="9986" max="9986" width="11.453125" customWidth="1"/>
    <col min="9987" max="9987" width="13.54296875" customWidth="1"/>
    <col min="9988" max="9988" width="16.453125" customWidth="1"/>
    <col min="9989" max="9989" width="14.1796875" customWidth="1"/>
    <col min="9990" max="9990" width="28" customWidth="1"/>
    <col min="9991" max="9991" width="13.54296875" customWidth="1"/>
    <col min="9992" max="9992" width="18.7265625" customWidth="1"/>
    <col min="9993" max="9993" width="16.81640625" customWidth="1"/>
    <col min="10241" max="10241" width="34.26953125" customWidth="1"/>
    <col min="10242" max="10242" width="11.453125" customWidth="1"/>
    <col min="10243" max="10243" width="13.54296875" customWidth="1"/>
    <col min="10244" max="10244" width="16.453125" customWidth="1"/>
    <col min="10245" max="10245" width="14.1796875" customWidth="1"/>
    <col min="10246" max="10246" width="28" customWidth="1"/>
    <col min="10247" max="10247" width="13.54296875" customWidth="1"/>
    <col min="10248" max="10248" width="18.7265625" customWidth="1"/>
    <col min="10249" max="10249" width="16.81640625" customWidth="1"/>
    <col min="10497" max="10497" width="34.26953125" customWidth="1"/>
    <col min="10498" max="10498" width="11.453125" customWidth="1"/>
    <col min="10499" max="10499" width="13.54296875" customWidth="1"/>
    <col min="10500" max="10500" width="16.453125" customWidth="1"/>
    <col min="10501" max="10501" width="14.1796875" customWidth="1"/>
    <col min="10502" max="10502" width="28" customWidth="1"/>
    <col min="10503" max="10503" width="13.54296875" customWidth="1"/>
    <col min="10504" max="10504" width="18.7265625" customWidth="1"/>
    <col min="10505" max="10505" width="16.81640625" customWidth="1"/>
    <col min="10753" max="10753" width="34.26953125" customWidth="1"/>
    <col min="10754" max="10754" width="11.453125" customWidth="1"/>
    <col min="10755" max="10755" width="13.54296875" customWidth="1"/>
    <col min="10756" max="10756" width="16.453125" customWidth="1"/>
    <col min="10757" max="10757" width="14.1796875" customWidth="1"/>
    <col min="10758" max="10758" width="28" customWidth="1"/>
    <col min="10759" max="10759" width="13.54296875" customWidth="1"/>
    <col min="10760" max="10760" width="18.7265625" customWidth="1"/>
    <col min="10761" max="10761" width="16.81640625" customWidth="1"/>
    <col min="11009" max="11009" width="34.26953125" customWidth="1"/>
    <col min="11010" max="11010" width="11.453125" customWidth="1"/>
    <col min="11011" max="11011" width="13.54296875" customWidth="1"/>
    <col min="11012" max="11012" width="16.453125" customWidth="1"/>
    <col min="11013" max="11013" width="14.1796875" customWidth="1"/>
    <col min="11014" max="11014" width="28" customWidth="1"/>
    <col min="11015" max="11015" width="13.54296875" customWidth="1"/>
    <col min="11016" max="11016" width="18.7265625" customWidth="1"/>
    <col min="11017" max="11017" width="16.81640625" customWidth="1"/>
    <col min="11265" max="11265" width="34.26953125" customWidth="1"/>
    <col min="11266" max="11266" width="11.453125" customWidth="1"/>
    <col min="11267" max="11267" width="13.54296875" customWidth="1"/>
    <col min="11268" max="11268" width="16.453125" customWidth="1"/>
    <col min="11269" max="11269" width="14.1796875" customWidth="1"/>
    <col min="11270" max="11270" width="28" customWidth="1"/>
    <col min="11271" max="11271" width="13.54296875" customWidth="1"/>
    <col min="11272" max="11272" width="18.7265625" customWidth="1"/>
    <col min="11273" max="11273" width="16.81640625" customWidth="1"/>
    <col min="11521" max="11521" width="34.26953125" customWidth="1"/>
    <col min="11522" max="11522" width="11.453125" customWidth="1"/>
    <col min="11523" max="11523" width="13.54296875" customWidth="1"/>
    <col min="11524" max="11524" width="16.453125" customWidth="1"/>
    <col min="11525" max="11525" width="14.1796875" customWidth="1"/>
    <col min="11526" max="11526" width="28" customWidth="1"/>
    <col min="11527" max="11527" width="13.54296875" customWidth="1"/>
    <col min="11528" max="11528" width="18.7265625" customWidth="1"/>
    <col min="11529" max="11529" width="16.81640625" customWidth="1"/>
    <col min="11777" max="11777" width="34.26953125" customWidth="1"/>
    <col min="11778" max="11778" width="11.453125" customWidth="1"/>
    <col min="11779" max="11779" width="13.54296875" customWidth="1"/>
    <col min="11780" max="11780" width="16.453125" customWidth="1"/>
    <col min="11781" max="11781" width="14.1796875" customWidth="1"/>
    <col min="11782" max="11782" width="28" customWidth="1"/>
    <col min="11783" max="11783" width="13.54296875" customWidth="1"/>
    <col min="11784" max="11784" width="18.7265625" customWidth="1"/>
    <col min="11785" max="11785" width="16.81640625" customWidth="1"/>
    <col min="12033" max="12033" width="34.26953125" customWidth="1"/>
    <col min="12034" max="12034" width="11.453125" customWidth="1"/>
    <col min="12035" max="12035" width="13.54296875" customWidth="1"/>
    <col min="12036" max="12036" width="16.453125" customWidth="1"/>
    <col min="12037" max="12037" width="14.1796875" customWidth="1"/>
    <col min="12038" max="12038" width="28" customWidth="1"/>
    <col min="12039" max="12039" width="13.54296875" customWidth="1"/>
    <col min="12040" max="12040" width="18.7265625" customWidth="1"/>
    <col min="12041" max="12041" width="16.81640625" customWidth="1"/>
    <col min="12289" max="12289" width="34.26953125" customWidth="1"/>
    <col min="12290" max="12290" width="11.453125" customWidth="1"/>
    <col min="12291" max="12291" width="13.54296875" customWidth="1"/>
    <col min="12292" max="12292" width="16.453125" customWidth="1"/>
    <col min="12293" max="12293" width="14.1796875" customWidth="1"/>
    <col min="12294" max="12294" width="28" customWidth="1"/>
    <col min="12295" max="12295" width="13.54296875" customWidth="1"/>
    <col min="12296" max="12296" width="18.7265625" customWidth="1"/>
    <col min="12297" max="12297" width="16.81640625" customWidth="1"/>
    <col min="12545" max="12545" width="34.26953125" customWidth="1"/>
    <col min="12546" max="12546" width="11.453125" customWidth="1"/>
    <col min="12547" max="12547" width="13.54296875" customWidth="1"/>
    <col min="12548" max="12548" width="16.453125" customWidth="1"/>
    <col min="12549" max="12549" width="14.1796875" customWidth="1"/>
    <col min="12550" max="12550" width="28" customWidth="1"/>
    <col min="12551" max="12551" width="13.54296875" customWidth="1"/>
    <col min="12552" max="12552" width="18.7265625" customWidth="1"/>
    <col min="12553" max="12553" width="16.81640625" customWidth="1"/>
    <col min="12801" max="12801" width="34.26953125" customWidth="1"/>
    <col min="12802" max="12802" width="11.453125" customWidth="1"/>
    <col min="12803" max="12803" width="13.54296875" customWidth="1"/>
    <col min="12804" max="12804" width="16.453125" customWidth="1"/>
    <col min="12805" max="12805" width="14.1796875" customWidth="1"/>
    <col min="12806" max="12806" width="28" customWidth="1"/>
    <col min="12807" max="12807" width="13.54296875" customWidth="1"/>
    <col min="12808" max="12808" width="18.7265625" customWidth="1"/>
    <col min="12809" max="12809" width="16.81640625" customWidth="1"/>
    <col min="13057" max="13057" width="34.26953125" customWidth="1"/>
    <col min="13058" max="13058" width="11.453125" customWidth="1"/>
    <col min="13059" max="13059" width="13.54296875" customWidth="1"/>
    <col min="13060" max="13060" width="16.453125" customWidth="1"/>
    <col min="13061" max="13061" width="14.1796875" customWidth="1"/>
    <col min="13062" max="13062" width="28" customWidth="1"/>
    <col min="13063" max="13063" width="13.54296875" customWidth="1"/>
    <col min="13064" max="13064" width="18.7265625" customWidth="1"/>
    <col min="13065" max="13065" width="16.81640625" customWidth="1"/>
    <col min="13313" max="13313" width="34.26953125" customWidth="1"/>
    <col min="13314" max="13314" width="11.453125" customWidth="1"/>
    <col min="13315" max="13315" width="13.54296875" customWidth="1"/>
    <col min="13316" max="13316" width="16.453125" customWidth="1"/>
    <col min="13317" max="13317" width="14.1796875" customWidth="1"/>
    <col min="13318" max="13318" width="28" customWidth="1"/>
    <col min="13319" max="13319" width="13.54296875" customWidth="1"/>
    <col min="13320" max="13320" width="18.7265625" customWidth="1"/>
    <col min="13321" max="13321" width="16.81640625" customWidth="1"/>
    <col min="13569" max="13569" width="34.26953125" customWidth="1"/>
    <col min="13570" max="13570" width="11.453125" customWidth="1"/>
    <col min="13571" max="13571" width="13.54296875" customWidth="1"/>
    <col min="13572" max="13572" width="16.453125" customWidth="1"/>
    <col min="13573" max="13573" width="14.1796875" customWidth="1"/>
    <col min="13574" max="13574" width="28" customWidth="1"/>
    <col min="13575" max="13575" width="13.54296875" customWidth="1"/>
    <col min="13576" max="13576" width="18.7265625" customWidth="1"/>
    <col min="13577" max="13577" width="16.81640625" customWidth="1"/>
    <col min="13825" max="13825" width="34.26953125" customWidth="1"/>
    <col min="13826" max="13826" width="11.453125" customWidth="1"/>
    <col min="13827" max="13827" width="13.54296875" customWidth="1"/>
    <col min="13828" max="13828" width="16.453125" customWidth="1"/>
    <col min="13829" max="13829" width="14.1796875" customWidth="1"/>
    <col min="13830" max="13830" width="28" customWidth="1"/>
    <col min="13831" max="13831" width="13.54296875" customWidth="1"/>
    <col min="13832" max="13832" width="18.7265625" customWidth="1"/>
    <col min="13833" max="13833" width="16.81640625" customWidth="1"/>
    <col min="14081" max="14081" width="34.26953125" customWidth="1"/>
    <col min="14082" max="14082" width="11.453125" customWidth="1"/>
    <col min="14083" max="14083" width="13.54296875" customWidth="1"/>
    <col min="14084" max="14084" width="16.453125" customWidth="1"/>
    <col min="14085" max="14085" width="14.1796875" customWidth="1"/>
    <col min="14086" max="14086" width="28" customWidth="1"/>
    <col min="14087" max="14087" width="13.54296875" customWidth="1"/>
    <col min="14088" max="14088" width="18.7265625" customWidth="1"/>
    <col min="14089" max="14089" width="16.81640625" customWidth="1"/>
    <col min="14337" max="14337" width="34.26953125" customWidth="1"/>
    <col min="14338" max="14338" width="11.453125" customWidth="1"/>
    <col min="14339" max="14339" width="13.54296875" customWidth="1"/>
    <col min="14340" max="14340" width="16.453125" customWidth="1"/>
    <col min="14341" max="14341" width="14.1796875" customWidth="1"/>
    <col min="14342" max="14342" width="28" customWidth="1"/>
    <col min="14343" max="14343" width="13.54296875" customWidth="1"/>
    <col min="14344" max="14344" width="18.7265625" customWidth="1"/>
    <col min="14345" max="14345" width="16.81640625" customWidth="1"/>
    <col min="14593" max="14593" width="34.26953125" customWidth="1"/>
    <col min="14594" max="14594" width="11.453125" customWidth="1"/>
    <col min="14595" max="14595" width="13.54296875" customWidth="1"/>
    <col min="14596" max="14596" width="16.453125" customWidth="1"/>
    <col min="14597" max="14597" width="14.1796875" customWidth="1"/>
    <col min="14598" max="14598" width="28" customWidth="1"/>
    <col min="14599" max="14599" width="13.54296875" customWidth="1"/>
    <col min="14600" max="14600" width="18.7265625" customWidth="1"/>
    <col min="14601" max="14601" width="16.81640625" customWidth="1"/>
    <col min="14849" max="14849" width="34.26953125" customWidth="1"/>
    <col min="14850" max="14850" width="11.453125" customWidth="1"/>
    <col min="14851" max="14851" width="13.54296875" customWidth="1"/>
    <col min="14852" max="14852" width="16.453125" customWidth="1"/>
    <col min="14853" max="14853" width="14.1796875" customWidth="1"/>
    <col min="14854" max="14854" width="28" customWidth="1"/>
    <col min="14855" max="14855" width="13.54296875" customWidth="1"/>
    <col min="14856" max="14856" width="18.7265625" customWidth="1"/>
    <col min="14857" max="14857" width="16.81640625" customWidth="1"/>
    <col min="15105" max="15105" width="34.26953125" customWidth="1"/>
    <col min="15106" max="15106" width="11.453125" customWidth="1"/>
    <col min="15107" max="15107" width="13.54296875" customWidth="1"/>
    <col min="15108" max="15108" width="16.453125" customWidth="1"/>
    <col min="15109" max="15109" width="14.1796875" customWidth="1"/>
    <col min="15110" max="15110" width="28" customWidth="1"/>
    <col min="15111" max="15111" width="13.54296875" customWidth="1"/>
    <col min="15112" max="15112" width="18.7265625" customWidth="1"/>
    <col min="15113" max="15113" width="16.81640625" customWidth="1"/>
    <col min="15361" max="15361" width="34.26953125" customWidth="1"/>
    <col min="15362" max="15362" width="11.453125" customWidth="1"/>
    <col min="15363" max="15363" width="13.54296875" customWidth="1"/>
    <col min="15364" max="15364" width="16.453125" customWidth="1"/>
    <col min="15365" max="15365" width="14.1796875" customWidth="1"/>
    <col min="15366" max="15366" width="28" customWidth="1"/>
    <col min="15367" max="15367" width="13.54296875" customWidth="1"/>
    <col min="15368" max="15368" width="18.7265625" customWidth="1"/>
    <col min="15369" max="15369" width="16.81640625" customWidth="1"/>
    <col min="15617" max="15617" width="34.26953125" customWidth="1"/>
    <col min="15618" max="15618" width="11.453125" customWidth="1"/>
    <col min="15619" max="15619" width="13.54296875" customWidth="1"/>
    <col min="15620" max="15620" width="16.453125" customWidth="1"/>
    <col min="15621" max="15621" width="14.1796875" customWidth="1"/>
    <col min="15622" max="15622" width="28" customWidth="1"/>
    <col min="15623" max="15623" width="13.54296875" customWidth="1"/>
    <col min="15624" max="15624" width="18.7265625" customWidth="1"/>
    <col min="15625" max="15625" width="16.81640625" customWidth="1"/>
    <col min="15873" max="15873" width="34.26953125" customWidth="1"/>
    <col min="15874" max="15874" width="11.453125" customWidth="1"/>
    <col min="15875" max="15875" width="13.54296875" customWidth="1"/>
    <col min="15876" max="15876" width="16.453125" customWidth="1"/>
    <col min="15877" max="15877" width="14.1796875" customWidth="1"/>
    <col min="15878" max="15878" width="28" customWidth="1"/>
    <col min="15879" max="15879" width="13.54296875" customWidth="1"/>
    <col min="15880" max="15880" width="18.7265625" customWidth="1"/>
    <col min="15881" max="15881" width="16.81640625" customWidth="1"/>
    <col min="16129" max="16129" width="34.26953125" customWidth="1"/>
    <col min="16130" max="16130" width="11.453125" customWidth="1"/>
    <col min="16131" max="16131" width="13.54296875" customWidth="1"/>
    <col min="16132" max="16132" width="16.453125" customWidth="1"/>
    <col min="16133" max="16133" width="14.1796875" customWidth="1"/>
    <col min="16134" max="16134" width="28" customWidth="1"/>
    <col min="16135" max="16135" width="13.54296875" customWidth="1"/>
    <col min="16136" max="16136" width="18.7265625" customWidth="1"/>
    <col min="16137" max="16137" width="16.81640625" customWidth="1"/>
  </cols>
  <sheetData>
    <row r="1" spans="1:7" ht="17.5" x14ac:dyDescent="0.35">
      <c r="A1" s="72" t="s">
        <v>212</v>
      </c>
      <c r="B1" s="171"/>
      <c r="C1" s="73"/>
      <c r="D1" s="74"/>
      <c r="E1" s="74"/>
      <c r="F1" s="74"/>
      <c r="G1" s="75"/>
    </row>
    <row r="2" spans="1:7" ht="17.5" x14ac:dyDescent="0.35">
      <c r="A2" s="76" t="s">
        <v>54</v>
      </c>
      <c r="B2" s="1"/>
      <c r="G2" s="77"/>
    </row>
    <row r="3" spans="1:7" ht="16" thickBot="1" x14ac:dyDescent="0.4">
      <c r="A3" s="78"/>
      <c r="B3" s="79"/>
      <c r="E3" t="s">
        <v>55</v>
      </c>
      <c r="G3" s="80"/>
    </row>
    <row r="4" spans="1:7" ht="35.25" customHeight="1" thickBot="1" x14ac:dyDescent="0.4">
      <c r="A4" s="81" t="s">
        <v>56</v>
      </c>
      <c r="B4" s="82"/>
      <c r="C4" s="83" t="s">
        <v>57</v>
      </c>
      <c r="D4" s="83" t="s">
        <v>58</v>
      </c>
      <c r="E4" s="84" t="s">
        <v>59</v>
      </c>
      <c r="F4" s="160"/>
      <c r="G4" s="86"/>
    </row>
    <row r="5" spans="1:7" ht="15.5" x14ac:dyDescent="0.35">
      <c r="A5" s="78" t="s">
        <v>1</v>
      </c>
      <c r="B5" s="87" t="s">
        <v>28</v>
      </c>
      <c r="C5" s="88">
        <v>1106</v>
      </c>
      <c r="D5" s="89">
        <v>553.96</v>
      </c>
      <c r="E5" s="90">
        <v>89</v>
      </c>
      <c r="F5" s="91" t="s">
        <v>60</v>
      </c>
      <c r="G5" s="92">
        <f>1519770/1567575</f>
        <v>0.96950385149035934</v>
      </c>
    </row>
    <row r="6" spans="1:7" ht="5.25" customHeight="1" x14ac:dyDescent="0.35">
      <c r="A6" s="78"/>
      <c r="B6" s="93"/>
      <c r="C6" s="93"/>
      <c r="D6" s="166"/>
      <c r="E6" s="161"/>
      <c r="F6" s="26"/>
      <c r="G6" s="80"/>
    </row>
    <row r="7" spans="1:7" ht="15.5" x14ac:dyDescent="0.35">
      <c r="A7" s="78"/>
      <c r="B7" s="94" t="s">
        <v>31</v>
      </c>
      <c r="C7" s="95">
        <v>132</v>
      </c>
      <c r="D7" s="167">
        <v>493.1</v>
      </c>
      <c r="E7" s="97">
        <v>76</v>
      </c>
      <c r="F7" s="91" t="s">
        <v>61</v>
      </c>
      <c r="G7" s="92">
        <f>C11/C5</f>
        <v>0.24050632911392406</v>
      </c>
    </row>
    <row r="8" spans="1:7" ht="6" customHeight="1" x14ac:dyDescent="0.35">
      <c r="A8" s="78"/>
      <c r="B8" s="93"/>
      <c r="C8" s="98"/>
      <c r="D8" s="168"/>
      <c r="E8" s="100"/>
      <c r="F8" s="101"/>
      <c r="G8" s="102"/>
    </row>
    <row r="9" spans="1:7" ht="15.5" x14ac:dyDescent="0.35">
      <c r="A9" s="103"/>
      <c r="B9" s="104" t="s">
        <v>32</v>
      </c>
      <c r="C9" s="105">
        <v>174</v>
      </c>
      <c r="D9" s="169">
        <v>517.59</v>
      </c>
      <c r="E9" s="107">
        <v>67</v>
      </c>
      <c r="F9" s="91" t="s">
        <v>62</v>
      </c>
      <c r="G9" s="92">
        <f>C13/C5</f>
        <v>2.2603978300180832E-2</v>
      </c>
    </row>
    <row r="10" spans="1:7" ht="6" customHeight="1" x14ac:dyDescent="0.35">
      <c r="A10" s="78"/>
      <c r="B10" s="93"/>
      <c r="C10" s="98"/>
      <c r="D10" s="168"/>
      <c r="E10" s="100"/>
      <c r="G10" s="77"/>
    </row>
    <row r="11" spans="1:7" ht="15.5" x14ac:dyDescent="0.35">
      <c r="A11" s="103"/>
      <c r="B11" s="104" t="s">
        <v>33</v>
      </c>
      <c r="C11" s="105">
        <v>266</v>
      </c>
      <c r="D11" s="169">
        <v>485.02</v>
      </c>
      <c r="E11" s="107">
        <v>61</v>
      </c>
      <c r="G11" s="77"/>
    </row>
    <row r="12" spans="1:7" ht="6" customHeight="1" x14ac:dyDescent="0.35">
      <c r="A12" s="78"/>
      <c r="B12" s="93"/>
      <c r="C12" s="98"/>
      <c r="D12" s="168"/>
      <c r="E12" s="100"/>
      <c r="F12" s="101"/>
      <c r="G12" s="102"/>
    </row>
    <row r="13" spans="1:7" ht="16" thickBot="1" x14ac:dyDescent="0.4">
      <c r="A13" s="103"/>
      <c r="B13" s="108" t="s">
        <v>63</v>
      </c>
      <c r="C13" s="109">
        <v>25</v>
      </c>
      <c r="D13" s="170">
        <v>580.5</v>
      </c>
      <c r="E13" s="111">
        <v>195</v>
      </c>
      <c r="F13" s="112"/>
      <c r="G13" s="113"/>
    </row>
    <row r="14" spans="1:7" ht="5.25" customHeight="1" thickBot="1" x14ac:dyDescent="0.4">
      <c r="A14" s="162"/>
      <c r="B14" s="115"/>
      <c r="C14" s="114"/>
      <c r="D14" s="116"/>
      <c r="E14" s="117"/>
      <c r="F14" s="118"/>
      <c r="G14" s="119"/>
    </row>
    <row r="15" spans="1:7" ht="15.5" x14ac:dyDescent="0.35">
      <c r="A15" s="78" t="s">
        <v>38</v>
      </c>
      <c r="B15" s="87" t="s">
        <v>28</v>
      </c>
      <c r="C15" s="88">
        <v>355</v>
      </c>
      <c r="D15" s="89">
        <v>398.35</v>
      </c>
      <c r="E15" s="90">
        <v>76</v>
      </c>
      <c r="F15" s="91" t="s">
        <v>60</v>
      </c>
      <c r="G15" s="92">
        <f>732937/751985</f>
        <v>0.97466970750746362</v>
      </c>
    </row>
    <row r="16" spans="1:7" ht="5.25" customHeight="1" x14ac:dyDescent="0.35">
      <c r="A16" s="78"/>
      <c r="B16" s="93"/>
      <c r="C16" s="93"/>
      <c r="D16" s="93"/>
      <c r="E16" s="161"/>
      <c r="F16" s="26"/>
      <c r="G16" s="80"/>
    </row>
    <row r="17" spans="1:9" ht="15.5" x14ac:dyDescent="0.35">
      <c r="A17" s="78"/>
      <c r="B17" s="94" t="s">
        <v>31</v>
      </c>
      <c r="C17" s="95">
        <v>53</v>
      </c>
      <c r="D17" s="96">
        <v>396.6</v>
      </c>
      <c r="E17" s="97">
        <v>76</v>
      </c>
      <c r="F17" s="91" t="s">
        <v>61</v>
      </c>
      <c r="G17" s="92">
        <f>C21/C15</f>
        <v>0.323943661971831</v>
      </c>
    </row>
    <row r="18" spans="1:9" ht="6" customHeight="1" x14ac:dyDescent="0.35">
      <c r="A18" s="78"/>
      <c r="B18" s="93"/>
      <c r="C18" s="98"/>
      <c r="D18" s="99"/>
      <c r="E18" s="100"/>
      <c r="F18" s="101"/>
      <c r="G18" s="102"/>
    </row>
    <row r="19" spans="1:9" ht="15.5" x14ac:dyDescent="0.35">
      <c r="A19" s="103"/>
      <c r="B19" s="104" t="s">
        <v>32</v>
      </c>
      <c r="C19" s="105">
        <v>72</v>
      </c>
      <c r="D19" s="106">
        <v>383.61</v>
      </c>
      <c r="E19" s="107">
        <v>55</v>
      </c>
      <c r="F19" s="91" t="s">
        <v>62</v>
      </c>
      <c r="G19" s="92">
        <f>C23/C15</f>
        <v>1.6901408450704224E-2</v>
      </c>
    </row>
    <row r="20" spans="1:9" ht="6" customHeight="1" x14ac:dyDescent="0.35">
      <c r="A20" s="78"/>
      <c r="B20" s="93"/>
      <c r="C20" s="98"/>
      <c r="D20" s="99"/>
      <c r="E20" s="100"/>
      <c r="G20" s="77"/>
    </row>
    <row r="21" spans="1:9" ht="15.5" x14ac:dyDescent="0.35">
      <c r="A21" s="103"/>
      <c r="B21" s="104" t="s">
        <v>33</v>
      </c>
      <c r="C21" s="105">
        <v>115</v>
      </c>
      <c r="D21" s="106">
        <v>381.86</v>
      </c>
      <c r="E21" s="107">
        <v>52</v>
      </c>
      <c r="G21" s="77"/>
    </row>
    <row r="22" spans="1:9" ht="6" customHeight="1" x14ac:dyDescent="0.35">
      <c r="A22" s="78"/>
      <c r="B22" s="93"/>
      <c r="C22" s="98"/>
      <c r="D22" s="99"/>
      <c r="E22" s="100"/>
      <c r="F22" s="101"/>
      <c r="G22" s="102"/>
    </row>
    <row r="23" spans="1:9" ht="16" thickBot="1" x14ac:dyDescent="0.4">
      <c r="A23" s="120"/>
      <c r="B23" s="108" t="s">
        <v>63</v>
      </c>
      <c r="C23" s="109">
        <v>6</v>
      </c>
      <c r="D23" s="110">
        <v>385.96</v>
      </c>
      <c r="E23" s="111">
        <v>247</v>
      </c>
      <c r="F23" s="112"/>
      <c r="G23" s="113"/>
    </row>
    <row r="24" spans="1:9" ht="5.25" customHeight="1" thickBot="1" x14ac:dyDescent="0.4">
      <c r="A24" s="121"/>
      <c r="B24" s="115"/>
      <c r="C24" s="114"/>
      <c r="D24" s="116"/>
      <c r="E24" s="117"/>
      <c r="F24" s="118"/>
      <c r="G24" s="119"/>
    </row>
    <row r="25" spans="1:9" ht="15.5" x14ac:dyDescent="0.35">
      <c r="A25" s="122" t="s">
        <v>64</v>
      </c>
      <c r="B25" s="87" t="s">
        <v>28</v>
      </c>
      <c r="C25" s="88">
        <v>215</v>
      </c>
      <c r="D25" s="96">
        <v>454.34</v>
      </c>
      <c r="E25" s="90">
        <v>64</v>
      </c>
      <c r="F25" s="91" t="s">
        <v>60</v>
      </c>
      <c r="G25" s="92">
        <f>1209521/1252795</f>
        <v>0.96545803583187995</v>
      </c>
      <c r="I25" s="124"/>
    </row>
    <row r="26" spans="1:9" ht="6.75" customHeight="1" x14ac:dyDescent="0.35">
      <c r="A26" s="78"/>
      <c r="B26" s="93"/>
      <c r="C26" s="93"/>
      <c r="D26" s="99"/>
      <c r="E26" s="161"/>
      <c r="F26" s="26"/>
      <c r="G26" s="80"/>
      <c r="I26" s="124"/>
    </row>
    <row r="27" spans="1:9" ht="15.5" x14ac:dyDescent="0.35">
      <c r="A27" s="78"/>
      <c r="B27" s="94" t="s">
        <v>31</v>
      </c>
      <c r="C27" s="95">
        <v>29</v>
      </c>
      <c r="D27" s="106">
        <v>437.26</v>
      </c>
      <c r="E27" s="97">
        <v>47</v>
      </c>
      <c r="F27" s="91" t="s">
        <v>61</v>
      </c>
      <c r="G27" s="92">
        <f>C31/C25</f>
        <v>0.30232558139534882</v>
      </c>
      <c r="I27" s="124"/>
    </row>
    <row r="28" spans="1:9" ht="6" customHeight="1" x14ac:dyDescent="0.35">
      <c r="A28" s="78"/>
      <c r="B28" s="93"/>
      <c r="C28" s="98"/>
      <c r="D28" s="99"/>
      <c r="E28" s="100"/>
      <c r="F28" s="101"/>
      <c r="G28" s="102"/>
    </row>
    <row r="29" spans="1:9" ht="15.5" x14ac:dyDescent="0.35">
      <c r="A29" s="103"/>
      <c r="B29" s="104" t="s">
        <v>32</v>
      </c>
      <c r="C29" s="105">
        <v>26</v>
      </c>
      <c r="D29" s="96">
        <v>485.05</v>
      </c>
      <c r="E29" s="107">
        <v>37</v>
      </c>
      <c r="F29" s="91" t="s">
        <v>62</v>
      </c>
      <c r="G29" s="92">
        <f>C33/C25</f>
        <v>1.8604651162790697E-2</v>
      </c>
      <c r="I29" t="s">
        <v>65</v>
      </c>
    </row>
    <row r="30" spans="1:9" ht="5.25" customHeight="1" x14ac:dyDescent="0.35">
      <c r="A30" s="78"/>
      <c r="B30" s="93"/>
      <c r="C30" s="98"/>
      <c r="D30" s="99"/>
      <c r="E30" s="100"/>
      <c r="G30" s="77"/>
    </row>
    <row r="31" spans="1:9" ht="15.5" x14ac:dyDescent="0.35">
      <c r="A31" s="103"/>
      <c r="B31" s="104" t="s">
        <v>33</v>
      </c>
      <c r="C31" s="105">
        <v>65</v>
      </c>
      <c r="D31" s="106">
        <v>434.28</v>
      </c>
      <c r="E31" s="107">
        <v>49</v>
      </c>
      <c r="F31" s="26"/>
      <c r="G31" s="80"/>
    </row>
    <row r="32" spans="1:9" ht="6" customHeight="1" x14ac:dyDescent="0.35">
      <c r="A32" s="78"/>
      <c r="B32" s="93"/>
      <c r="C32" s="98"/>
      <c r="D32" s="99"/>
      <c r="E32" s="100"/>
      <c r="F32" s="101"/>
      <c r="G32" s="102"/>
    </row>
    <row r="33" spans="1:13" ht="16" thickBot="1" x14ac:dyDescent="0.4">
      <c r="A33" s="103"/>
      <c r="B33" s="125" t="s">
        <v>63</v>
      </c>
      <c r="C33" s="109">
        <v>4</v>
      </c>
      <c r="D33" s="110">
        <v>395.09</v>
      </c>
      <c r="E33" s="111">
        <v>194</v>
      </c>
      <c r="F33" s="101"/>
      <c r="G33" s="102"/>
    </row>
    <row r="34" spans="1:13" ht="5.25" customHeight="1" thickBot="1" x14ac:dyDescent="0.4">
      <c r="A34" s="85"/>
      <c r="B34" s="127"/>
      <c r="C34" s="128"/>
      <c r="D34" s="114"/>
      <c r="E34" s="130"/>
      <c r="F34" s="131"/>
      <c r="G34" s="132"/>
    </row>
    <row r="35" spans="1:13" ht="15.5" x14ac:dyDescent="0.35">
      <c r="A35" s="122" t="s">
        <v>66</v>
      </c>
      <c r="B35" s="87" t="s">
        <v>28</v>
      </c>
      <c r="C35" s="88">
        <v>158</v>
      </c>
      <c r="D35" s="96">
        <v>520.49</v>
      </c>
      <c r="E35" s="90">
        <v>65</v>
      </c>
      <c r="F35" s="91" t="s">
        <v>60</v>
      </c>
      <c r="G35" s="92">
        <f>1717450/1768724</f>
        <v>0.97101073994585929</v>
      </c>
    </row>
    <row r="36" spans="1:13" ht="6" customHeight="1" x14ac:dyDescent="0.35">
      <c r="A36" s="78"/>
      <c r="B36" s="93"/>
      <c r="C36" s="93"/>
      <c r="D36" s="99"/>
      <c r="E36" s="161"/>
      <c r="F36" s="26"/>
      <c r="G36" s="80"/>
    </row>
    <row r="37" spans="1:13" ht="15.5" x14ac:dyDescent="0.35">
      <c r="A37" s="78"/>
      <c r="B37" s="94" t="s">
        <v>31</v>
      </c>
      <c r="C37" s="95">
        <v>17</v>
      </c>
      <c r="D37" s="106">
        <v>502.37</v>
      </c>
      <c r="E37" s="97">
        <v>85</v>
      </c>
      <c r="F37" s="91" t="s">
        <v>61</v>
      </c>
      <c r="G37" s="92">
        <f>C41/C35</f>
        <v>0.17088607594936708</v>
      </c>
    </row>
    <row r="38" spans="1:13" ht="6" customHeight="1" x14ac:dyDescent="0.35">
      <c r="A38" s="78"/>
      <c r="B38" s="93"/>
      <c r="C38" s="98"/>
      <c r="D38" s="99"/>
      <c r="E38" s="100"/>
      <c r="F38" s="101"/>
      <c r="G38" s="102"/>
    </row>
    <row r="39" spans="1:13" ht="15.5" x14ac:dyDescent="0.35">
      <c r="A39" s="103"/>
      <c r="B39" s="104" t="s">
        <v>32</v>
      </c>
      <c r="C39" s="105">
        <v>22</v>
      </c>
      <c r="D39" s="96">
        <v>553.99</v>
      </c>
      <c r="E39" s="107">
        <v>60</v>
      </c>
      <c r="F39" s="91" t="s">
        <v>62</v>
      </c>
      <c r="G39" s="92">
        <f>C43/C35</f>
        <v>2.5316455696202531E-2</v>
      </c>
      <c r="H39" s="134"/>
      <c r="I39" s="135"/>
      <c r="J39" s="136"/>
    </row>
    <row r="40" spans="1:13" ht="6" customHeight="1" x14ac:dyDescent="0.35">
      <c r="A40" s="78"/>
      <c r="B40" s="93"/>
      <c r="C40" s="98"/>
      <c r="D40" s="99"/>
      <c r="E40" s="100"/>
      <c r="F40" s="101"/>
      <c r="G40" s="102"/>
    </row>
    <row r="41" spans="1:13" ht="15.5" x14ac:dyDescent="0.35">
      <c r="A41" s="103"/>
      <c r="B41" s="104" t="s">
        <v>33</v>
      </c>
      <c r="C41" s="105">
        <v>27</v>
      </c>
      <c r="D41" s="106">
        <v>486.06</v>
      </c>
      <c r="E41" s="107">
        <v>70</v>
      </c>
      <c r="F41" s="26"/>
      <c r="G41" s="80"/>
      <c r="H41" s="137"/>
    </row>
    <row r="42" spans="1:13" ht="6" customHeight="1" x14ac:dyDescent="0.35">
      <c r="A42" s="78"/>
      <c r="B42" s="93"/>
      <c r="C42" s="98"/>
      <c r="D42" s="99"/>
      <c r="E42" s="100"/>
      <c r="F42" s="101"/>
      <c r="G42" s="102"/>
    </row>
    <row r="43" spans="1:13" ht="16" thickBot="1" x14ac:dyDescent="0.4">
      <c r="A43" s="120"/>
      <c r="B43" s="108" t="s">
        <v>63</v>
      </c>
      <c r="C43" s="109">
        <v>4</v>
      </c>
      <c r="D43" s="110">
        <v>462.88</v>
      </c>
      <c r="E43" s="111">
        <v>56</v>
      </c>
      <c r="F43" s="101"/>
      <c r="G43" s="102"/>
      <c r="H43" s="137"/>
      <c r="M43" t="s">
        <v>140</v>
      </c>
    </row>
    <row r="44" spans="1:13" ht="5.25" customHeight="1" thickBot="1" x14ac:dyDescent="0.4">
      <c r="A44" s="121"/>
      <c r="B44" s="115"/>
      <c r="C44" s="114"/>
      <c r="D44" s="116"/>
      <c r="E44" s="117"/>
      <c r="F44" s="118"/>
      <c r="G44" s="119"/>
    </row>
    <row r="45" spans="1:13" ht="15.5" x14ac:dyDescent="0.35">
      <c r="A45" s="122" t="s">
        <v>67</v>
      </c>
      <c r="B45" s="87" t="s">
        <v>28</v>
      </c>
      <c r="C45" s="88">
        <v>158</v>
      </c>
      <c r="D45" s="96">
        <v>605.41</v>
      </c>
      <c r="E45" s="90">
        <v>87</v>
      </c>
      <c r="F45" s="91" t="s">
        <v>60</v>
      </c>
      <c r="G45" s="92">
        <f>2316692/2417854</f>
        <v>0.95816041828828369</v>
      </c>
      <c r="H45" s="137"/>
    </row>
    <row r="46" spans="1:13" ht="6" customHeight="1" x14ac:dyDescent="0.35">
      <c r="A46" s="78"/>
      <c r="B46" s="93"/>
      <c r="C46" s="93"/>
      <c r="D46" s="99"/>
      <c r="E46" s="161"/>
      <c r="F46" s="26"/>
      <c r="G46" s="80"/>
      <c r="H46" s="137"/>
    </row>
    <row r="47" spans="1:13" ht="15.5" x14ac:dyDescent="0.35">
      <c r="A47" s="78"/>
      <c r="B47" s="94" t="s">
        <v>31</v>
      </c>
      <c r="C47" s="95">
        <v>17</v>
      </c>
      <c r="D47" s="106">
        <v>551.19000000000005</v>
      </c>
      <c r="E47" s="97">
        <v>94</v>
      </c>
      <c r="F47" s="91" t="s">
        <v>61</v>
      </c>
      <c r="G47" s="92">
        <f>C51/C45</f>
        <v>0.189873417721519</v>
      </c>
      <c r="H47" s="137"/>
    </row>
    <row r="48" spans="1:13" ht="5.25" customHeight="1" x14ac:dyDescent="0.35">
      <c r="A48" s="78"/>
      <c r="B48" s="93"/>
      <c r="C48" s="98"/>
      <c r="D48" s="99"/>
      <c r="E48" s="100"/>
      <c r="F48" s="101"/>
      <c r="G48" s="102"/>
    </row>
    <row r="49" spans="1:11" ht="15.5" x14ac:dyDescent="0.35">
      <c r="A49" s="103"/>
      <c r="B49" s="104" t="s">
        <v>32</v>
      </c>
      <c r="C49" s="105">
        <v>31</v>
      </c>
      <c r="D49" s="96">
        <v>601.14</v>
      </c>
      <c r="E49" s="107">
        <v>93</v>
      </c>
      <c r="F49" s="91" t="s">
        <v>62</v>
      </c>
      <c r="G49" s="92">
        <f>C53/C45</f>
        <v>3.1645569620253167E-2</v>
      </c>
      <c r="H49" s="137"/>
    </row>
    <row r="50" spans="1:11" ht="6" customHeight="1" x14ac:dyDescent="0.35">
      <c r="A50" s="78"/>
      <c r="B50" s="93"/>
      <c r="C50" s="98"/>
      <c r="D50" s="99"/>
      <c r="E50" s="100"/>
      <c r="F50" s="101"/>
      <c r="G50" s="102"/>
    </row>
    <row r="51" spans="1:11" ht="15.5" x14ac:dyDescent="0.35">
      <c r="A51" s="103"/>
      <c r="B51" s="104" t="s">
        <v>33</v>
      </c>
      <c r="C51" s="105">
        <v>30</v>
      </c>
      <c r="D51" s="106">
        <v>622.79999999999995</v>
      </c>
      <c r="E51" s="107">
        <v>84</v>
      </c>
      <c r="F51" s="26"/>
      <c r="G51" s="80"/>
    </row>
    <row r="52" spans="1:11" ht="6" customHeight="1" x14ac:dyDescent="0.35">
      <c r="A52" s="78"/>
      <c r="B52" s="93"/>
      <c r="C52" s="98"/>
      <c r="D52" s="99"/>
      <c r="E52" s="100"/>
      <c r="F52" s="101"/>
      <c r="G52" s="102"/>
    </row>
    <row r="53" spans="1:11" ht="16" thickBot="1" x14ac:dyDescent="0.4">
      <c r="A53" s="120"/>
      <c r="B53" s="108" t="s">
        <v>63</v>
      </c>
      <c r="C53" s="109">
        <v>5</v>
      </c>
      <c r="D53" s="110">
        <v>632.04999999999995</v>
      </c>
      <c r="E53" s="111">
        <v>76</v>
      </c>
      <c r="F53" s="112"/>
      <c r="G53" s="113"/>
    </row>
    <row r="54" spans="1:11" ht="5.25" customHeight="1" thickBot="1" x14ac:dyDescent="0.4">
      <c r="A54" s="121"/>
      <c r="B54" s="115"/>
      <c r="C54" s="128"/>
      <c r="D54" s="129"/>
      <c r="E54" s="130"/>
      <c r="F54" s="118"/>
      <c r="G54" s="119"/>
    </row>
    <row r="55" spans="1:11" ht="15.5" x14ac:dyDescent="0.35">
      <c r="A55" s="122" t="s">
        <v>49</v>
      </c>
      <c r="B55" s="87" t="s">
        <v>28</v>
      </c>
      <c r="C55" s="88">
        <v>220</v>
      </c>
      <c r="D55" s="89">
        <v>889.5</v>
      </c>
      <c r="E55" s="123">
        <v>153</v>
      </c>
      <c r="F55" s="91" t="s">
        <v>60</v>
      </c>
      <c r="G55" s="164">
        <f>4326906/4440479</f>
        <v>0.97442325478850367</v>
      </c>
      <c r="H55" s="137"/>
      <c r="J55" s="136"/>
    </row>
    <row r="56" spans="1:11" ht="7.5" customHeight="1" x14ac:dyDescent="0.35">
      <c r="A56" s="78"/>
      <c r="B56" s="93"/>
      <c r="C56" s="98"/>
      <c r="D56" s="99"/>
      <c r="E56" s="100"/>
      <c r="F56" s="26"/>
      <c r="G56" s="80" t="s">
        <v>65</v>
      </c>
      <c r="H56" s="137"/>
      <c r="J56" s="136"/>
    </row>
    <row r="57" spans="1:11" ht="15.5" x14ac:dyDescent="0.35">
      <c r="A57" s="78"/>
      <c r="B57" s="94" t="s">
        <v>31</v>
      </c>
      <c r="C57" s="95">
        <v>16</v>
      </c>
      <c r="D57" s="96">
        <v>842.39</v>
      </c>
      <c r="E57" s="133">
        <v>106</v>
      </c>
      <c r="F57" s="91" t="s">
        <v>61</v>
      </c>
      <c r="G57" s="92">
        <f>C61/C55</f>
        <v>0.13181818181818181</v>
      </c>
      <c r="H57" s="137"/>
      <c r="J57" s="136"/>
      <c r="K57" t="s">
        <v>65</v>
      </c>
    </row>
    <row r="58" spans="1:11" ht="6" customHeight="1" x14ac:dyDescent="0.35">
      <c r="A58" s="78"/>
      <c r="B58" s="93"/>
      <c r="C58" s="98"/>
      <c r="D58" s="99"/>
      <c r="E58" s="100"/>
      <c r="F58" s="101"/>
      <c r="G58" s="102"/>
    </row>
    <row r="59" spans="1:11" ht="15.5" x14ac:dyDescent="0.35">
      <c r="A59" s="103"/>
      <c r="B59" s="104" t="s">
        <v>32</v>
      </c>
      <c r="C59" s="105">
        <v>23</v>
      </c>
      <c r="D59" s="106">
        <v>826.41</v>
      </c>
      <c r="E59" s="107">
        <v>106</v>
      </c>
      <c r="F59" s="91" t="s">
        <v>62</v>
      </c>
      <c r="G59" s="92">
        <f>C63/C55</f>
        <v>2.7272727272727271E-2</v>
      </c>
      <c r="H59" s="137"/>
    </row>
    <row r="60" spans="1:11" ht="6" customHeight="1" x14ac:dyDescent="0.35">
      <c r="A60" s="78"/>
      <c r="B60" s="93"/>
      <c r="C60" s="98"/>
      <c r="D60" s="99"/>
      <c r="E60" s="100"/>
      <c r="F60" s="101"/>
      <c r="G60" s="102"/>
    </row>
    <row r="61" spans="1:11" ht="15.5" x14ac:dyDescent="0.35">
      <c r="A61" s="103"/>
      <c r="B61" s="104" t="s">
        <v>33</v>
      </c>
      <c r="C61" s="105">
        <v>29</v>
      </c>
      <c r="D61" s="106">
        <v>864.26</v>
      </c>
      <c r="E61" s="107">
        <v>94</v>
      </c>
      <c r="F61" s="26"/>
      <c r="G61" s="80"/>
      <c r="H61" s="137"/>
    </row>
    <row r="62" spans="1:11" ht="6" customHeight="1" x14ac:dyDescent="0.35">
      <c r="A62" s="78"/>
      <c r="B62" s="93"/>
      <c r="C62" s="98"/>
      <c r="D62" s="99"/>
      <c r="E62" s="100"/>
      <c r="F62" s="101"/>
      <c r="G62" s="102"/>
    </row>
    <row r="63" spans="1:11" ht="16" thickBot="1" x14ac:dyDescent="0.4">
      <c r="A63" s="120"/>
      <c r="B63" s="108" t="s">
        <v>63</v>
      </c>
      <c r="C63" s="109">
        <v>6</v>
      </c>
      <c r="D63" s="110">
        <v>934.11</v>
      </c>
      <c r="E63" s="111">
        <v>335</v>
      </c>
      <c r="F63" s="112"/>
      <c r="G63" s="113"/>
      <c r="H63" s="137"/>
    </row>
    <row r="64" spans="1:11" ht="15.5" x14ac:dyDescent="0.35">
      <c r="A64" s="172" t="s">
        <v>72</v>
      </c>
      <c r="G64" s="77"/>
    </row>
    <row r="65" spans="1:7" ht="16" thickBot="1" x14ac:dyDescent="0.4">
      <c r="A65" s="173" t="s">
        <v>213</v>
      </c>
      <c r="B65" s="5"/>
      <c r="C65" s="5"/>
      <c r="D65" s="5"/>
      <c r="E65" s="5"/>
      <c r="F65" s="5"/>
      <c r="G65" s="174"/>
    </row>
  </sheetData>
  <printOptions horizontalCentered="1"/>
  <pageMargins left="0.2" right="0.2" top="0.75" bottom="0.5" header="0.3" footer="0.3"/>
  <pageSetup scale="77" orientation="portrait" r:id="rId1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76</vt:i4>
      </vt:variant>
      <vt:variant>
        <vt:lpstr>Named Ranges</vt:lpstr>
      </vt:variant>
      <vt:variant>
        <vt:i4>72</vt:i4>
      </vt:variant>
    </vt:vector>
  </HeadingPairs>
  <TitlesOfParts>
    <vt:vector size="148" baseType="lpstr">
      <vt:lpstr>ALL</vt:lpstr>
      <vt:lpstr>1 Year</vt:lpstr>
      <vt:lpstr>Chart for blog</vt:lpstr>
      <vt:lpstr>Mar 24</vt:lpstr>
      <vt:lpstr>Feb 24</vt:lpstr>
      <vt:lpstr>Jan 24</vt:lpstr>
      <vt:lpstr>Dec 23</vt:lpstr>
      <vt:lpstr>Nov 23</vt:lpstr>
      <vt:lpstr>Oct 23</vt:lpstr>
      <vt:lpstr>Sep 23</vt:lpstr>
      <vt:lpstr>Aug 23</vt:lpstr>
      <vt:lpstr>Jul 23</vt:lpstr>
      <vt:lpstr>Jun 23</vt:lpstr>
      <vt:lpstr>May 23</vt:lpstr>
      <vt:lpstr>Apr 23</vt:lpstr>
      <vt:lpstr>Mar 23</vt:lpstr>
      <vt:lpstr>Feb 23</vt:lpstr>
      <vt:lpstr>Jan 23</vt:lpstr>
      <vt:lpstr>Dec 22</vt:lpstr>
      <vt:lpstr>Nov 22</vt:lpstr>
      <vt:lpstr>Oct 22</vt:lpstr>
      <vt:lpstr>Sep 22</vt:lpstr>
      <vt:lpstr>Aug 22</vt:lpstr>
      <vt:lpstr>Jul 22</vt:lpstr>
      <vt:lpstr>Jun 22</vt:lpstr>
      <vt:lpstr>May 22</vt:lpstr>
      <vt:lpstr>Apr 22</vt:lpstr>
      <vt:lpstr>Mar 22</vt:lpstr>
      <vt:lpstr>Feb 22</vt:lpstr>
      <vt:lpstr>Jan 22</vt:lpstr>
      <vt:lpstr>Dec 21</vt:lpstr>
      <vt:lpstr>Nov 21</vt:lpstr>
      <vt:lpstr>Oct 21</vt:lpstr>
      <vt:lpstr>Sep 21</vt:lpstr>
      <vt:lpstr>Aug 21</vt:lpstr>
      <vt:lpstr>July 21</vt:lpstr>
      <vt:lpstr>Jun 21</vt:lpstr>
      <vt:lpstr>May 21</vt:lpstr>
      <vt:lpstr>Apr 21</vt:lpstr>
      <vt:lpstr>Mar 21</vt:lpstr>
      <vt:lpstr>Feb 21</vt:lpstr>
      <vt:lpstr>Jan 21</vt:lpstr>
      <vt:lpstr>Dec 20</vt:lpstr>
      <vt:lpstr>Nov 20</vt:lpstr>
      <vt:lpstr>Oct 20</vt:lpstr>
      <vt:lpstr>Sep 20</vt:lpstr>
      <vt:lpstr>Aug 20</vt:lpstr>
      <vt:lpstr>July 20</vt:lpstr>
      <vt:lpstr>June 20</vt:lpstr>
      <vt:lpstr>May 20</vt:lpstr>
      <vt:lpstr>Apr 20</vt:lpstr>
      <vt:lpstr>Mar 20</vt:lpstr>
      <vt:lpstr>Feb 20</vt:lpstr>
      <vt:lpstr>Jan 20</vt:lpstr>
      <vt:lpstr>Dec 19</vt:lpstr>
      <vt:lpstr>Nov 19</vt:lpstr>
      <vt:lpstr>Oct 19</vt:lpstr>
      <vt:lpstr>Sep 19</vt:lpstr>
      <vt:lpstr>Aug 19</vt:lpstr>
      <vt:lpstr>July 19</vt:lpstr>
      <vt:lpstr>June 19</vt:lpstr>
      <vt:lpstr>May 19</vt:lpstr>
      <vt:lpstr>Apr 19</vt:lpstr>
      <vt:lpstr>Mar 19</vt:lpstr>
      <vt:lpstr>Feb 19</vt:lpstr>
      <vt:lpstr>Jan 19</vt:lpstr>
      <vt:lpstr>Dec 18</vt:lpstr>
      <vt:lpstr>Nov 18</vt:lpstr>
      <vt:lpstr>Oct 18</vt:lpstr>
      <vt:lpstr>Sep 18</vt:lpstr>
      <vt:lpstr>Aug 18</vt:lpstr>
      <vt:lpstr>July 18</vt:lpstr>
      <vt:lpstr>June 18</vt:lpstr>
      <vt:lpstr>May 18</vt:lpstr>
      <vt:lpstr>Apr 18</vt:lpstr>
      <vt:lpstr>Mar 18</vt:lpstr>
      <vt:lpstr>'Apr 18'!Print_Area</vt:lpstr>
      <vt:lpstr>'Apr 19'!Print_Area</vt:lpstr>
      <vt:lpstr>'Apr 20'!Print_Area</vt:lpstr>
      <vt:lpstr>'Apr 21'!Print_Area</vt:lpstr>
      <vt:lpstr>'Apr 22'!Print_Area</vt:lpstr>
      <vt:lpstr>'Apr 23'!Print_Area</vt:lpstr>
      <vt:lpstr>'Aug 18'!Print_Area</vt:lpstr>
      <vt:lpstr>'Aug 19'!Print_Area</vt:lpstr>
      <vt:lpstr>'Aug 20'!Print_Area</vt:lpstr>
      <vt:lpstr>'Aug 21'!Print_Area</vt:lpstr>
      <vt:lpstr>'Aug 22'!Print_Area</vt:lpstr>
      <vt:lpstr>'Aug 23'!Print_Area</vt:lpstr>
      <vt:lpstr>'Dec 18'!Print_Area</vt:lpstr>
      <vt:lpstr>'Dec 19'!Print_Area</vt:lpstr>
      <vt:lpstr>'Dec 20'!Print_Area</vt:lpstr>
      <vt:lpstr>'Dec 21'!Print_Area</vt:lpstr>
      <vt:lpstr>'Dec 22'!Print_Area</vt:lpstr>
      <vt:lpstr>'Dec 23'!Print_Area</vt:lpstr>
      <vt:lpstr>'Feb 19'!Print_Area</vt:lpstr>
      <vt:lpstr>'Feb 20'!Print_Area</vt:lpstr>
      <vt:lpstr>'Feb 21'!Print_Area</vt:lpstr>
      <vt:lpstr>'Feb 22'!Print_Area</vt:lpstr>
      <vt:lpstr>'Feb 23'!Print_Area</vt:lpstr>
      <vt:lpstr>'Feb 24'!Print_Area</vt:lpstr>
      <vt:lpstr>'Jan 19'!Print_Area</vt:lpstr>
      <vt:lpstr>'Jan 20'!Print_Area</vt:lpstr>
      <vt:lpstr>'Jan 21'!Print_Area</vt:lpstr>
      <vt:lpstr>'Jan 22'!Print_Area</vt:lpstr>
      <vt:lpstr>'Jan 23'!Print_Area</vt:lpstr>
      <vt:lpstr>'Jan 24'!Print_Area</vt:lpstr>
      <vt:lpstr>'Jul 22'!Print_Area</vt:lpstr>
      <vt:lpstr>'Jul 23'!Print_Area</vt:lpstr>
      <vt:lpstr>'July 18'!Print_Area</vt:lpstr>
      <vt:lpstr>'July 19'!Print_Area</vt:lpstr>
      <vt:lpstr>'July 20'!Print_Area</vt:lpstr>
      <vt:lpstr>'July 21'!Print_Area</vt:lpstr>
      <vt:lpstr>'Jun 21'!Print_Area</vt:lpstr>
      <vt:lpstr>'Jun 22'!Print_Area</vt:lpstr>
      <vt:lpstr>'Jun 23'!Print_Area</vt:lpstr>
      <vt:lpstr>'June 18'!Print_Area</vt:lpstr>
      <vt:lpstr>'June 19'!Print_Area</vt:lpstr>
      <vt:lpstr>'June 20'!Print_Area</vt:lpstr>
      <vt:lpstr>'Mar 19'!Print_Area</vt:lpstr>
      <vt:lpstr>'Mar 20'!Print_Area</vt:lpstr>
      <vt:lpstr>'Mar 21'!Print_Area</vt:lpstr>
      <vt:lpstr>'Mar 22'!Print_Area</vt:lpstr>
      <vt:lpstr>'Mar 23'!Print_Area</vt:lpstr>
      <vt:lpstr>'Mar 24'!Print_Area</vt:lpstr>
      <vt:lpstr>'May 18'!Print_Area</vt:lpstr>
      <vt:lpstr>'May 19'!Print_Area</vt:lpstr>
      <vt:lpstr>'May 20'!Print_Area</vt:lpstr>
      <vt:lpstr>'May 21'!Print_Area</vt:lpstr>
      <vt:lpstr>'May 22'!Print_Area</vt:lpstr>
      <vt:lpstr>'May 23'!Print_Area</vt:lpstr>
      <vt:lpstr>'Nov 18'!Print_Area</vt:lpstr>
      <vt:lpstr>'Nov 19'!Print_Area</vt:lpstr>
      <vt:lpstr>'Nov 20'!Print_Area</vt:lpstr>
      <vt:lpstr>'Nov 21'!Print_Area</vt:lpstr>
      <vt:lpstr>'Nov 22'!Print_Area</vt:lpstr>
      <vt:lpstr>'Nov 23'!Print_Area</vt:lpstr>
      <vt:lpstr>'Oct 18'!Print_Area</vt:lpstr>
      <vt:lpstr>'Oct 19'!Print_Area</vt:lpstr>
      <vt:lpstr>'Oct 20'!Print_Area</vt:lpstr>
      <vt:lpstr>'Oct 21'!Print_Area</vt:lpstr>
      <vt:lpstr>'Oct 22'!Print_Area</vt:lpstr>
      <vt:lpstr>'Oct 23'!Print_Area</vt:lpstr>
      <vt:lpstr>'Sep 18'!Print_Area</vt:lpstr>
      <vt:lpstr>'Sep 19'!Print_Area</vt:lpstr>
      <vt:lpstr>'Sep 20'!Print_Area</vt:lpstr>
      <vt:lpstr>'Sep 21'!Print_Area</vt:lpstr>
      <vt:lpstr>'Sep 22'!Print_Area</vt:lpstr>
      <vt:lpstr>'Sep 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htawes</dc:creator>
  <cp:lastModifiedBy>heather livebetterinscottsdale.com</cp:lastModifiedBy>
  <cp:lastPrinted>2024-04-04T21:02:59Z</cp:lastPrinted>
  <dcterms:created xsi:type="dcterms:W3CDTF">2018-04-09T23:15:26Z</dcterms:created>
  <dcterms:modified xsi:type="dcterms:W3CDTF">2024-04-04T21:09:01Z</dcterms:modified>
</cp:coreProperties>
</file>